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9720" windowHeight="5100" tabRatio="902" firstSheet="1" activeTab="1"/>
  </bookViews>
  <sheets>
    <sheet name="01,01,16" sheetId="1" r:id="rId1"/>
    <sheet name="01,02,16" sheetId="2" r:id="rId2"/>
    <sheet name="01,03,16" sheetId="3" r:id="rId3"/>
    <sheet name="01,04,16" sheetId="4" r:id="rId4"/>
    <sheet name="01,05,16" sheetId="5" r:id="rId5"/>
    <sheet name="01,06,16 " sheetId="6" r:id="rId6"/>
    <sheet name="01,07,16  " sheetId="7" r:id="rId7"/>
    <sheet name="01,08,16 " sheetId="8" r:id="rId8"/>
    <sheet name="01,09,16" sheetId="9" r:id="rId9"/>
    <sheet name="01,10,16" sheetId="10" r:id="rId10"/>
    <sheet name="01,11,16 " sheetId="11" r:id="rId11"/>
    <sheet name="01,12,16  " sheetId="12" r:id="rId12"/>
    <sheet name="01,01,17" sheetId="13" r:id="rId13"/>
  </sheets>
  <definedNames>
    <definedName name="С55" localSheetId="0">#REF!</definedName>
    <definedName name="С55" localSheetId="12">#REF!</definedName>
    <definedName name="С55" localSheetId="4">#REF!</definedName>
    <definedName name="С55" localSheetId="5">#REF!</definedName>
    <definedName name="С55" localSheetId="6">#REF!</definedName>
    <definedName name="С55" localSheetId="7">#REF!</definedName>
    <definedName name="С55" localSheetId="9">#REF!</definedName>
    <definedName name="С55" localSheetId="10">#REF!</definedName>
    <definedName name="С55" localSheetId="11">#REF!</definedName>
    <definedName name="С55">#REF!</definedName>
  </definedNames>
  <calcPr fullCalcOnLoad="1"/>
</workbook>
</file>

<file path=xl/sharedStrings.xml><?xml version="1.0" encoding="utf-8"?>
<sst xmlns="http://schemas.openxmlformats.org/spreadsheetml/2006/main" count="1662" uniqueCount="123">
  <si>
    <t>Номер п/п</t>
  </si>
  <si>
    <t xml:space="preserve">Дата возникновения (исполнения) обязательства по договору, № документа </t>
  </si>
  <si>
    <t>Объем долгового обязательства по договору (рубли)</t>
  </si>
  <si>
    <t xml:space="preserve">Срок  погашения долгового обязательства </t>
  </si>
  <si>
    <t>Форма обеспечения обязательства, № документа</t>
  </si>
  <si>
    <t>IV.</t>
  </si>
  <si>
    <t>Наименование кредитора (принципала)</t>
  </si>
  <si>
    <t>I.</t>
  </si>
  <si>
    <t>II.</t>
  </si>
  <si>
    <t xml:space="preserve"> </t>
  </si>
  <si>
    <t xml:space="preserve">Процентная ставка </t>
  </si>
  <si>
    <t xml:space="preserve">Муниципальные займы, осуществляемые путем выпуска ценных бумаг </t>
  </si>
  <si>
    <t>МУНИЦИПАЛЬНАЯ ДОЛГОВАЯ КНИГА</t>
  </si>
  <si>
    <t>руб.</t>
  </si>
  <si>
    <t>исполнитель Токко О.В.</t>
  </si>
  <si>
    <t>Бюджетный кредит</t>
  </si>
  <si>
    <t>Всего муниципальный долг</t>
  </si>
  <si>
    <t>Наименование долгового обязательства</t>
  </si>
  <si>
    <t>Всего муниципальный долг на конец отчетного периода</t>
  </si>
  <si>
    <t xml:space="preserve">III. Договоры и соглашения о получении бюджетных  кредитов от бюджетов других уровней </t>
  </si>
  <si>
    <t>тел.4-19-03</t>
  </si>
  <si>
    <t>Итого по разделу</t>
  </si>
  <si>
    <t xml:space="preserve"> Муниципальных гарантий </t>
  </si>
  <si>
    <t>Кредиты, полученные муниципальным образованием от кредитных организаций</t>
  </si>
  <si>
    <t>Бюджетные кредиты, привлеченные в местный бюджет от других бюджетов бюджетной системы Российской Федерации</t>
  </si>
  <si>
    <t>Муниципальные ценные бумаги</t>
  </si>
  <si>
    <t>Олонецкого национального муниципального района</t>
  </si>
  <si>
    <t xml:space="preserve">Начальник  районного финансового управления </t>
  </si>
  <si>
    <t>Казна муниципального образования</t>
  </si>
  <si>
    <t xml:space="preserve">Остаток долга по процентам на начало года </t>
  </si>
  <si>
    <t>Погашено процентов и пеней с начала отчетного периода</t>
  </si>
  <si>
    <t>Начислено процентов и пеней с начала отчетного периода</t>
  </si>
  <si>
    <t xml:space="preserve">Остаток долга по процентам и пеням  на конец отчетн. периода  </t>
  </si>
  <si>
    <t xml:space="preserve">Остаток долговых обязательств  на конец отчетн. периода  </t>
  </si>
  <si>
    <t>Министерство Финансов Республики Карелия</t>
  </si>
  <si>
    <t>Погашение долгового  обязательства за отчетный период (январь-декабрь)</t>
  </si>
  <si>
    <t>Образование долгового обязательства  за отчетный период (январь-декабрь)</t>
  </si>
  <si>
    <t>20.12.2014г.</t>
  </si>
  <si>
    <t>Глава Олонецкого национального муниципального района</t>
  </si>
  <si>
    <t>№9-1 от 24.02.12г.</t>
  </si>
  <si>
    <t>№9-2/12 от 14.08.12г.</t>
  </si>
  <si>
    <t>№9-3/12 от 24.12.2012г</t>
  </si>
  <si>
    <t>Образование долгового обязательства  за отчетный период (январь)</t>
  </si>
  <si>
    <t>№9-1/13 от 09.08.2013г</t>
  </si>
  <si>
    <t>22.07.2016г.</t>
  </si>
  <si>
    <t>№9-2/13 от 2412.2013г</t>
  </si>
  <si>
    <t>25.11.2016г.</t>
  </si>
  <si>
    <t>С.К. Прокопьев</t>
  </si>
  <si>
    <t>№9-1/14 от 11.03.2014г</t>
  </si>
  <si>
    <t>20.12.2017г.</t>
  </si>
  <si>
    <t>№9-2/14 от 11.07.2014г</t>
  </si>
  <si>
    <t>№9-1 от 08.04.11г.\рестр.9р-3</t>
  </si>
  <si>
    <t>№9-3/14 от 16.09.2014г</t>
  </si>
  <si>
    <t>25.08.2017г.</t>
  </si>
  <si>
    <t>№9-4/14 от 25.12.2014г</t>
  </si>
  <si>
    <t>27.02.2017г.</t>
  </si>
  <si>
    <t>Остаток долгового обязательства на начало отчетного периода (1.01.2015)</t>
  </si>
  <si>
    <t>Погашение долгового  обязательства за отчетный период (январь)</t>
  </si>
  <si>
    <t>№9-1/15 от 16.06.2015г.</t>
  </si>
  <si>
    <t>№9-2/15 от 26.06.2015 год</t>
  </si>
  <si>
    <t>№0106300009115000020 от 28.07.2015г.</t>
  </si>
  <si>
    <t>ПАО "Совкомбанк"</t>
  </si>
  <si>
    <t>№9-3/15 от 10.10.2015 год</t>
  </si>
  <si>
    <t>20.11.2018г.</t>
  </si>
  <si>
    <t>по состоянию на  1.01.2016 года</t>
  </si>
  <si>
    <t>Остаток долгового обязательства на конец отчетного периода (1.012.2016)</t>
  </si>
  <si>
    <t>№0106300009115000044 от 15.12.2015г.</t>
  </si>
  <si>
    <t>16.12.2016г</t>
  </si>
  <si>
    <t>28.07.2017г</t>
  </si>
  <si>
    <t>№9-4/15 от 28.12.2015 год</t>
  </si>
  <si>
    <t>22.07.2017г.</t>
  </si>
  <si>
    <t>по состоянию на  1.02.2016 года</t>
  </si>
  <si>
    <t>Остаток долгового обязательства на начало отчетного периода (1.01.2016)</t>
  </si>
  <si>
    <t>Остаток долгового обязательства на конец отчетного периода (1.02.2016)</t>
  </si>
  <si>
    <t xml:space="preserve">Т.Н.Столярова </t>
  </si>
  <si>
    <t>по состоянию на  1.03.2016 года</t>
  </si>
  <si>
    <t>Остаток долгового обязательства на конец отчетного периода (1.03.2016)</t>
  </si>
  <si>
    <t>Погашение долгового  обязательства за отчетный период (январь-февраль)</t>
  </si>
  <si>
    <t>Образование долгового обязательства  за отчетный период (январь-февраль)</t>
  </si>
  <si>
    <t>Остаток долгового обязательства на конец отчетного периода (1.04.2016)</t>
  </si>
  <si>
    <t>Погашение долгового  обязательства за отчетный период (январь-март)</t>
  </si>
  <si>
    <t>Образование долгового обязательства  за отчетный период (январь-март)</t>
  </si>
  <si>
    <t>по состоянию на  1.04.2016 года</t>
  </si>
  <si>
    <t>по состоянию на  1.05.2016 года</t>
  </si>
  <si>
    <t>№0106300009116000011 от 08.04.2016г.</t>
  </si>
  <si>
    <t>Образование долгового обязательства  за отчетный период (январь-апрель)</t>
  </si>
  <si>
    <t>Погашение долгового  обязательства за отчетный период (январь-апрель)</t>
  </si>
  <si>
    <t>Остаток долгового обязательства на конец отчетного периода (1.05.2016)</t>
  </si>
  <si>
    <t>по состоянию на  1.06.2016 года</t>
  </si>
  <si>
    <t>Образование долгового обязательства  за отчетный период (январь-май)</t>
  </si>
  <si>
    <t>Погашение долгового  обязательства за отчетный период (январь-май)</t>
  </si>
  <si>
    <t>Остаток долгового обязательства на конец отчетного периода (1.06.2016)</t>
  </si>
  <si>
    <t>по состоянию на  1.07.2016 года</t>
  </si>
  <si>
    <t>по состоянию на  1.08.2016 года</t>
  </si>
  <si>
    <t>Погашение долгового  обязательства за отчетный период (январь-июнь)</t>
  </si>
  <si>
    <t>Остаток долгового обязательства на конец отчетного периода (1.07.2016)</t>
  </si>
  <si>
    <t>Образование долгового обязательства  за отчетный период (январь-июнь)</t>
  </si>
  <si>
    <t>Образование долгового обязательства  за отчетный период (январь-июль)</t>
  </si>
  <si>
    <t>Погашение долгового  обязательства за отчетный период (январь-июль)</t>
  </si>
  <si>
    <t>Остаток долгового обязательства на конец отчетного периода (1.08.2016)</t>
  </si>
  <si>
    <t>по состоянию на  1.09.2016 года</t>
  </si>
  <si>
    <t>Образование долгового обязательства  за отчетный период (январь-август)</t>
  </si>
  <si>
    <t>Погашение долгового  обязательства за отчетный период (январь-август)</t>
  </si>
  <si>
    <t>Остаток долгового обязательства на конец отчетного периода (1.09.2016)</t>
  </si>
  <si>
    <t>№9-1/16 от03.08.2016 год</t>
  </si>
  <si>
    <t>22.07.2019г.</t>
  </si>
  <si>
    <t>по состоянию на  1.10.2016 года</t>
  </si>
  <si>
    <t>Образование долгового обязательства  за отчетный период (январь-сентябрь)</t>
  </si>
  <si>
    <t>Погашение долгового  обязательства за отчетный период (январь-сентябрь)</t>
  </si>
  <si>
    <t>Остаток долгового обязательства на конец отчетного периода (1.10.2016)</t>
  </si>
  <si>
    <t>по состоянию на  1.11.2016 года</t>
  </si>
  <si>
    <t>Образование долгового обязательства  за отчетный период (январь-октябрь)</t>
  </si>
  <si>
    <t>Погашение долгового  обязательства за отчетный период (январь-октябрь)</t>
  </si>
  <si>
    <t>Остаток долгового обязательства на конец отчетного периода (1.11.2016)</t>
  </si>
  <si>
    <t>по состоянию на  1.12.2016 года</t>
  </si>
  <si>
    <t>Образование долгового обязательства  за отчетный период (январь-ноябрь)</t>
  </si>
  <si>
    <t>Погашение долгового  обязательства за отчетный период (январь-ноябрь)</t>
  </si>
  <si>
    <t>Остаток долгового обязательства на конец отчетного периода (1.12.2016)</t>
  </si>
  <si>
    <t>по состоянию на  1.01.2017 года</t>
  </si>
  <si>
    <t>№9-2/16 от23.12.2016 год</t>
  </si>
  <si>
    <t>№0106300009116000066 от 05.12.2016г.</t>
  </si>
  <si>
    <t>23.11.2016г.</t>
  </si>
  <si>
    <t>08.04.2018г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</si>
</sst>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[$-FC19]d\ mmmm\ yyyy\ &quot;г.&quot;"/>
  </numFmts>
  <fonts count="50">
    <font>
      <sz val="10"/>
      <name val="Arial Cyr"/>
      <family val="0"/>
    </font>
    <font>
      <sz val="10"/>
      <name val="Times New Roman CYR"/>
      <family val="1"/>
    </font>
    <font>
      <b/>
      <sz val="14"/>
      <name val="Times New Roman CYR"/>
      <family val="1"/>
    </font>
    <font>
      <sz val="12"/>
      <name val="Times New Roman Cyr"/>
      <family val="1"/>
    </font>
    <font>
      <sz val="8"/>
      <name val="Times New Roman Cyr"/>
      <family val="1"/>
    </font>
    <font>
      <b/>
      <sz val="8"/>
      <name val="Times New Roman Cyr"/>
      <family val="1"/>
    </font>
    <font>
      <sz val="8"/>
      <name val="Times New Roman"/>
      <family val="1"/>
    </font>
    <font>
      <b/>
      <i/>
      <sz val="8"/>
      <name val="Times New Roman Cyr"/>
      <family val="1"/>
    </font>
    <font>
      <sz val="14"/>
      <name val="Times New Roman Cyr"/>
      <family val="1"/>
    </font>
    <font>
      <b/>
      <sz val="18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 Cyr"/>
      <family val="1"/>
    </font>
    <font>
      <b/>
      <sz val="11"/>
      <name val="Times New Roman CYR"/>
      <family val="0"/>
    </font>
    <font>
      <b/>
      <sz val="11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0"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2" fontId="4" fillId="0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2" fontId="13" fillId="0" borderId="10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10" fillId="0" borderId="15" xfId="0" applyFont="1" applyFill="1" applyBorder="1" applyAlignment="1">
      <alignment/>
    </xf>
    <xf numFmtId="2" fontId="4" fillId="0" borderId="11" xfId="0" applyNumberFormat="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13" fillId="0" borderId="15" xfId="0" applyFont="1" applyFill="1" applyBorder="1" applyAlignment="1">
      <alignment/>
    </xf>
    <xf numFmtId="0" fontId="14" fillId="0" borderId="15" xfId="0" applyFont="1" applyFill="1" applyBorder="1" applyAlignment="1">
      <alignment/>
    </xf>
    <xf numFmtId="2" fontId="14" fillId="0" borderId="15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172" fontId="4" fillId="0" borderId="14" xfId="0" applyNumberFormat="1" applyFont="1" applyFill="1" applyBorder="1" applyAlignment="1">
      <alignment horizontal="center" vertical="center"/>
    </xf>
    <xf numFmtId="172" fontId="4" fillId="0" borderId="10" xfId="0" applyNumberFormat="1" applyFont="1" applyFill="1" applyBorder="1" applyAlignment="1">
      <alignment horizontal="center" vertical="center"/>
    </xf>
    <xf numFmtId="172" fontId="4" fillId="0" borderId="11" xfId="0" applyNumberFormat="1" applyFont="1" applyFill="1" applyBorder="1" applyAlignment="1">
      <alignment horizontal="center" vertical="center"/>
    </xf>
    <xf numFmtId="172" fontId="4" fillId="0" borderId="13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/>
    </xf>
    <xf numFmtId="2" fontId="13" fillId="0" borderId="17" xfId="0" applyNumberFormat="1" applyFont="1" applyFill="1" applyBorder="1" applyAlignment="1">
      <alignment/>
    </xf>
    <xf numFmtId="2" fontId="14" fillId="0" borderId="15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 vertical="center"/>
    </xf>
    <xf numFmtId="172" fontId="5" fillId="0" borderId="0" xfId="0" applyNumberFormat="1" applyFont="1" applyFill="1" applyBorder="1" applyAlignment="1">
      <alignment horizontal="center"/>
    </xf>
    <xf numFmtId="172" fontId="7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0" fontId="4" fillId="0" borderId="10" xfId="0" applyFont="1" applyFill="1" applyBorder="1" applyAlignment="1">
      <alignment wrapText="1"/>
    </xf>
    <xf numFmtId="0" fontId="4" fillId="0" borderId="11" xfId="0" applyFont="1" applyFill="1" applyBorder="1" applyAlignment="1">
      <alignment horizontal="left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/>
    </xf>
    <xf numFmtId="14" fontId="4" fillId="0" borderId="10" xfId="0" applyNumberFormat="1" applyFont="1" applyFill="1" applyBorder="1" applyAlignment="1">
      <alignment horizontal="center" vertical="center" wrapText="1"/>
    </xf>
    <xf numFmtId="172" fontId="13" fillId="0" borderId="11" xfId="0" applyNumberFormat="1" applyFont="1" applyFill="1" applyBorder="1" applyAlignment="1">
      <alignment horizontal="center" vertical="center"/>
    </xf>
    <xf numFmtId="2" fontId="13" fillId="0" borderId="18" xfId="0" applyNumberFormat="1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/>
    </xf>
    <xf numFmtId="0" fontId="1" fillId="0" borderId="19" xfId="0" applyFont="1" applyFill="1" applyBorder="1" applyAlignment="1">
      <alignment horizontal="left"/>
    </xf>
    <xf numFmtId="0" fontId="4" fillId="0" borderId="14" xfId="0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172" fontId="13" fillId="0" borderId="1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2" fontId="13" fillId="0" borderId="15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8" fillId="0" borderId="0" xfId="0" applyFont="1" applyFill="1" applyBorder="1" applyAlignment="1">
      <alignment horizontal="left"/>
    </xf>
    <xf numFmtId="0" fontId="1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6" fillId="0" borderId="13" xfId="0" applyFont="1" applyFill="1" applyBorder="1" applyAlignment="1">
      <alignment horizontal="left" wrapText="1"/>
    </xf>
    <xf numFmtId="0" fontId="6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/>
    </xf>
    <xf numFmtId="0" fontId="1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28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23" xfId="0" applyFont="1" applyFill="1" applyBorder="1" applyAlignment="1">
      <alignment/>
    </xf>
    <xf numFmtId="0" fontId="4" fillId="0" borderId="11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0" fontId="3" fillId="0" borderId="25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14" fontId="4" fillId="0" borderId="11" xfId="0" applyNumberFormat="1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left" vertical="center" wrapText="1"/>
    </xf>
    <xf numFmtId="2" fontId="4" fillId="0" borderId="16" xfId="0" applyNumberFormat="1" applyFont="1" applyFill="1" applyBorder="1" applyAlignment="1">
      <alignment horizontal="center" vertical="center"/>
    </xf>
    <xf numFmtId="14" fontId="4" fillId="0" borderId="16" xfId="0" applyNumberFormat="1" applyFont="1" applyFill="1" applyBorder="1" applyAlignment="1">
      <alignment horizontal="center" vertical="center"/>
    </xf>
    <xf numFmtId="2" fontId="4" fillId="0" borderId="16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/>
    </xf>
    <xf numFmtId="0" fontId="3" fillId="0" borderId="26" xfId="0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4" fillId="0" borderId="17" xfId="0" applyFont="1" applyFill="1" applyBorder="1" applyAlignment="1">
      <alignment vertical="center"/>
    </xf>
    <xf numFmtId="2" fontId="4" fillId="0" borderId="17" xfId="0" applyNumberFormat="1" applyFont="1" applyFill="1" applyBorder="1" applyAlignment="1">
      <alignment horizontal="left" vertical="center"/>
    </xf>
    <xf numFmtId="0" fontId="4" fillId="0" borderId="32" xfId="0" applyFont="1" applyFill="1" applyBorder="1" applyAlignment="1">
      <alignment vertical="center"/>
    </xf>
    <xf numFmtId="172" fontId="3" fillId="0" borderId="0" xfId="0" applyNumberFormat="1" applyFont="1" applyFill="1" applyBorder="1" applyAlignment="1">
      <alignment/>
    </xf>
    <xf numFmtId="0" fontId="1" fillId="0" borderId="26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1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1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horizontal="center" vertical="center" wrapText="1"/>
    </xf>
    <xf numFmtId="2" fontId="13" fillId="0" borderId="11" xfId="0" applyNumberFormat="1" applyFont="1" applyFill="1" applyBorder="1" applyAlignment="1">
      <alignment/>
    </xf>
    <xf numFmtId="2" fontId="13" fillId="0" borderId="11" xfId="0" applyNumberFormat="1" applyFont="1" applyFill="1" applyBorder="1" applyAlignment="1">
      <alignment horizontal="center" vertical="center"/>
    </xf>
    <xf numFmtId="2" fontId="15" fillId="0" borderId="14" xfId="0" applyNumberFormat="1" applyFont="1" applyFill="1" applyBorder="1" applyAlignment="1">
      <alignment horizontal="center" vertical="center"/>
    </xf>
    <xf numFmtId="2" fontId="4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/>
    </xf>
    <xf numFmtId="2" fontId="13" fillId="0" borderId="14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left" vertical="center"/>
    </xf>
    <xf numFmtId="0" fontId="3" fillId="0" borderId="34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wrapText="1"/>
    </xf>
    <xf numFmtId="172" fontId="4" fillId="0" borderId="34" xfId="0" applyNumberFormat="1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0" fontId="3" fillId="0" borderId="36" xfId="0" applyFont="1" applyFill="1" applyBorder="1" applyAlignment="1">
      <alignment/>
    </xf>
    <xf numFmtId="0" fontId="14" fillId="0" borderId="21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3" fillId="0" borderId="19" xfId="0" applyFont="1" applyFill="1" applyBorder="1" applyAlignment="1">
      <alignment horizontal="left" vertical="center"/>
    </xf>
    <xf numFmtId="172" fontId="13" fillId="0" borderId="14" xfId="0" applyNumberFormat="1" applyFont="1" applyFill="1" applyBorder="1" applyAlignment="1">
      <alignment horizontal="center" vertical="center"/>
    </xf>
    <xf numFmtId="2" fontId="13" fillId="0" borderId="14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14" fontId="4" fillId="33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4" fillId="34" borderId="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2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0" fontId="10" fillId="34" borderId="15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2" fontId="13" fillId="34" borderId="10" xfId="0" applyNumberFormat="1" applyFont="1" applyFill="1" applyBorder="1" applyAlignment="1">
      <alignment horizontal="center" vertical="center"/>
    </xf>
    <xf numFmtId="2" fontId="13" fillId="34" borderId="11" xfId="0" applyNumberFormat="1" applyFont="1" applyFill="1" applyBorder="1" applyAlignment="1">
      <alignment horizontal="center" vertical="center"/>
    </xf>
    <xf numFmtId="2" fontId="13" fillId="34" borderId="14" xfId="0" applyNumberFormat="1" applyFont="1" applyFill="1" applyBorder="1" applyAlignment="1">
      <alignment horizontal="center" vertical="center"/>
    </xf>
    <xf numFmtId="2" fontId="15" fillId="34" borderId="14" xfId="0" applyNumberFormat="1" applyFont="1" applyFill="1" applyBorder="1" applyAlignment="1">
      <alignment horizontal="center" vertical="center"/>
    </xf>
    <xf numFmtId="172" fontId="4" fillId="34" borderId="34" xfId="0" applyNumberFormat="1" applyFont="1" applyFill="1" applyBorder="1" applyAlignment="1">
      <alignment/>
    </xf>
    <xf numFmtId="2" fontId="4" fillId="34" borderId="11" xfId="0" applyNumberFormat="1" applyFont="1" applyFill="1" applyBorder="1" applyAlignment="1">
      <alignment/>
    </xf>
    <xf numFmtId="0" fontId="13" fillId="34" borderId="0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4" fillId="34" borderId="15" xfId="0" applyFont="1" applyFill="1" applyBorder="1" applyAlignment="1">
      <alignment/>
    </xf>
    <xf numFmtId="2" fontId="14" fillId="34" borderId="15" xfId="0" applyNumberFormat="1" applyFont="1" applyFill="1" applyBorder="1" applyAlignment="1">
      <alignment/>
    </xf>
    <xf numFmtId="2" fontId="4" fillId="34" borderId="0" xfId="0" applyNumberFormat="1" applyFont="1" applyFill="1" applyBorder="1" applyAlignment="1">
      <alignment/>
    </xf>
    <xf numFmtId="172" fontId="4" fillId="34" borderId="0" xfId="0" applyNumberFormat="1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4" fontId="4" fillId="0" borderId="11" xfId="0" applyNumberFormat="1" applyFont="1" applyFill="1" applyBorder="1" applyAlignment="1">
      <alignment wrapText="1"/>
    </xf>
    <xf numFmtId="0" fontId="9" fillId="0" borderId="0" xfId="0" applyFont="1" applyFill="1" applyBorder="1" applyAlignment="1">
      <alignment horizontal="left"/>
    </xf>
    <xf numFmtId="0" fontId="0" fillId="0" borderId="0" xfId="0" applyFill="1" applyAlignment="1">
      <alignment/>
    </xf>
    <xf numFmtId="0" fontId="3" fillId="0" borderId="31" xfId="0" applyFont="1" applyFill="1" applyBorder="1" applyAlignment="1">
      <alignment horizontal="left" vertical="center"/>
    </xf>
    <xf numFmtId="0" fontId="0" fillId="0" borderId="16" xfId="0" applyFill="1" applyBorder="1" applyAlignment="1">
      <alignment/>
    </xf>
    <xf numFmtId="0" fontId="0" fillId="0" borderId="37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4"/>
  <sheetViews>
    <sheetView zoomScalePageLayoutView="0" workbookViewId="0" topLeftCell="A5">
      <pane ySplit="3135" topLeftCell="A32" activePane="bottomLeft" state="split"/>
      <selection pane="topLeft" activeCell="A8" sqref="A1:IV16384"/>
      <selection pane="bottomLeft" activeCell="J34" sqref="J3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9" width="13.125" style="8" customWidth="1"/>
    <col min="10" max="10" width="14.625" style="8" customWidth="1"/>
    <col min="11" max="11" width="12.75390625" style="8" customWidth="1"/>
    <col min="12" max="12" width="13.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2.875" style="8" customWidth="1"/>
    <col min="19" max="19" width="10.125" style="8" hidden="1" customWidth="1"/>
    <col min="20" max="20" width="15.125" style="8" hidden="1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64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56</v>
      </c>
      <c r="I8" s="11" t="s">
        <v>36</v>
      </c>
      <c r="J8" s="11" t="s">
        <v>35</v>
      </c>
      <c r="K8" s="11" t="s">
        <v>65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7.7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>
        <v>0</v>
      </c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>
        <v>242.08</v>
      </c>
      <c r="O23" s="5"/>
      <c r="P23" s="7">
        <v>242.08</v>
      </c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69.75" customHeight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>
        <v>0</v>
      </c>
      <c r="K24" s="53">
        <f t="shared" si="0"/>
        <v>0</v>
      </c>
      <c r="L24" s="47">
        <f t="shared" si="1"/>
        <v>0</v>
      </c>
      <c r="M24" s="7"/>
      <c r="N24" s="7">
        <v>76.62</v>
      </c>
      <c r="O24" s="5">
        <v>0</v>
      </c>
      <c r="P24" s="7">
        <v>76.62</v>
      </c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5837000</v>
      </c>
      <c r="I25" s="32"/>
      <c r="J25" s="32">
        <f>833000+833000+833000+833000+833000+833000</f>
        <v>4998000</v>
      </c>
      <c r="K25" s="53">
        <f t="shared" si="0"/>
        <v>839000</v>
      </c>
      <c r="L25" s="47">
        <f t="shared" si="1"/>
        <v>839000</v>
      </c>
      <c r="M25" s="7"/>
      <c r="N25" s="7">
        <v>14197.84</v>
      </c>
      <c r="O25" s="5">
        <f>12879.87+9740.5+8800.45+6226.83+4.84+5034.83+2147.41+2654.92+2939.37+2844.55+2939.37+2844.55+2939.37</f>
        <v>61996.86000000001</v>
      </c>
      <c r="P25" s="7">
        <f>14197.84+12879.87+9740.5+8800.45+6226.83+4.84+5034.83+2147.41+2654.92+2939.37+2844.55+2939.37+2844.55</f>
        <v>73255.33</v>
      </c>
      <c r="Q25" s="6">
        <f t="shared" si="2"/>
        <v>2939.37000000001</v>
      </c>
      <c r="R25" s="48">
        <f t="shared" si="3"/>
        <v>841939.37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4800000</v>
      </c>
      <c r="I26" s="32"/>
      <c r="J26" s="32">
        <f>436000+436000+436000+436000+436000+436000</f>
        <v>2616000</v>
      </c>
      <c r="K26" s="53">
        <f t="shared" si="0"/>
        <v>2184000</v>
      </c>
      <c r="L26" s="47">
        <f t="shared" si="1"/>
        <v>2184000</v>
      </c>
      <c r="M26" s="7"/>
      <c r="N26" s="7">
        <v>11512.33</v>
      </c>
      <c r="O26" s="5">
        <f>8435.93+8812.05+8681.56+7203.04+4.77+6710.6+5067.84+6911.01+7651.48+7404.66+7651.48+7404.66+7651.48</f>
        <v>89590.56</v>
      </c>
      <c r="P26" s="7">
        <f>11512.33+8435.93+8812.05+8681.56+7203.04+4.77+6710.6+5067.84+6911.01+7651.48+7404.66+7651.48+7404.66</f>
        <v>93451.41</v>
      </c>
      <c r="Q26" s="6">
        <f t="shared" si="2"/>
        <v>7651.479999999996</v>
      </c>
      <c r="R26" s="48">
        <f t="shared" si="3"/>
        <v>2191651.48</v>
      </c>
      <c r="S26" s="49"/>
      <c r="T26" s="49">
        <f>Q25+Q26</f>
        <v>10590.850000000006</v>
      </c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7750000</v>
      </c>
      <c r="I27" s="32"/>
      <c r="J27" s="32">
        <f>400000+400000+400000+400000+400000+400000</f>
        <v>2400000</v>
      </c>
      <c r="K27" s="53">
        <f t="shared" si="0"/>
        <v>5350000</v>
      </c>
      <c r="L27" s="47">
        <f t="shared" si="1"/>
        <v>5350000</v>
      </c>
      <c r="M27" s="7"/>
      <c r="N27" s="7">
        <v>18304.45</v>
      </c>
      <c r="O27" s="5">
        <f>17739.39+15113.7+15780.48+14171.92+8.68+13972.26+12213.02+12495.55+12495.55+12092.47+12495.55+12092.47+12495.55</f>
        <v>163166.59</v>
      </c>
      <c r="P27" s="7">
        <f>18304.45+17739.39+15113.7+15780.48+14171.92+8.68+13972.26+12213.02+12495.55+12495.55+12092.47+12495.55+12092.47</f>
        <v>168975.48999999996</v>
      </c>
      <c r="Q27" s="6">
        <f t="shared" si="2"/>
        <v>12495.550000000047</v>
      </c>
      <c r="R27" s="48">
        <f t="shared" si="3"/>
        <v>5362495.55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/>
      <c r="K28" s="53">
        <f t="shared" si="0"/>
        <v>10000000</v>
      </c>
      <c r="L28" s="47">
        <f t="shared" si="1"/>
        <v>10000000</v>
      </c>
      <c r="M28" s="7"/>
      <c r="N28" s="7">
        <v>23122.6</v>
      </c>
      <c r="O28" s="5">
        <f>25736.99+21095.89+23356.16+22602.74+12.85+23356.16+22602.74+23356.16+23356.16+22602.74+23356.16+22602.74+23356.16</f>
        <v>277393.65</v>
      </c>
      <c r="P28" s="7">
        <f>23122.6+25736.99+21095.89+23356.16+22602.74+12.85+23356.16+22602.74+23356.16+23356.16+22602.74+23356.16+22602.74</f>
        <v>277160.09</v>
      </c>
      <c r="Q28" s="6">
        <f t="shared" si="2"/>
        <v>23356.159999999974</v>
      </c>
      <c r="R28" s="48">
        <f t="shared" si="3"/>
        <v>10023356.16</v>
      </c>
      <c r="S28" s="49"/>
      <c r="T28" s="49">
        <f>Q27+Q28</f>
        <v>35851.71000000002</v>
      </c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/>
      <c r="K29" s="53">
        <f t="shared" si="0"/>
        <v>10000000</v>
      </c>
      <c r="L29" s="47">
        <f t="shared" si="1"/>
        <v>10000000</v>
      </c>
      <c r="M29" s="7"/>
      <c r="N29" s="7">
        <v>23356.16</v>
      </c>
      <c r="O29" s="5">
        <f>23356.16+21095.89+23356.16+22602.74+12.85+23356.16+22602.74+23356.16+23356.16+22602.74+23356.16+22602.74+23356.16</f>
        <v>275012.82</v>
      </c>
      <c r="P29" s="7">
        <f>23356.16+23356.16+21095.89+23356.16+22602.74+12.85+23356.16+22602.74+23356.16+23356.16+22602.74+23356.16+22602.74</f>
        <v>275012.82</v>
      </c>
      <c r="Q29" s="6">
        <f t="shared" si="2"/>
        <v>23356.159999999974</v>
      </c>
      <c r="R29" s="48">
        <f t="shared" si="3"/>
        <v>10023356.16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/>
      <c r="K30" s="53">
        <f t="shared" si="0"/>
        <v>7000000</v>
      </c>
      <c r="L30" s="47">
        <f t="shared" si="1"/>
        <v>7000000</v>
      </c>
      <c r="M30" s="7"/>
      <c r="N30" s="7">
        <v>16349.32</v>
      </c>
      <c r="O30" s="5">
        <f>16349.32+14767.12+16349.32+15821.92+8.99+16349.32+15821.92+16349.32+16349.32+15821.92+16349.32+15821.92+16349.32</f>
        <v>192509.03000000003</v>
      </c>
      <c r="P30" s="7">
        <f>16349.32+16349.32+14767.12+16349.32+15821.92+8.99+16349.32+15821.92+16349.32+16349.32+15821.92+16349.32+15821.92</f>
        <v>192509.03000000003</v>
      </c>
      <c r="Q30" s="6">
        <f t="shared" si="2"/>
        <v>16349.320000000007</v>
      </c>
      <c r="R30" s="48">
        <f t="shared" si="3"/>
        <v>7016349.32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14013.7+12657.53+14013.7+13561.64+7.71+14013.7+13561.64+14013.7+14013.7+13561.64+14013.7+13561.64+14013.7</f>
        <v>165007.7</v>
      </c>
      <c r="P31" s="94">
        <f>14013.7+14013.7+12657.53+14013.7+13561.64+7.71+14013.7+13561.64+14013.7+14013.7+13561.64+14013.7+13561.64</f>
        <v>165007.7</v>
      </c>
      <c r="Q31" s="6">
        <f t="shared" si="2"/>
        <v>14013.700000000012</v>
      </c>
      <c r="R31" s="48">
        <f t="shared" si="3"/>
        <v>6014013.7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5273.97</v>
      </c>
      <c r="O32" s="134">
        <f>23356.16+21095.89+23356.16+22602.74+12.85+23356.16+22602.74+23356.16+23356.16+22602.74+23356.16+22602.74+23356.16</f>
        <v>275012.82</v>
      </c>
      <c r="P32" s="135">
        <f>5273.97+23356.16+21095.89+23356.16+22602.74+12.85+23356.16+22602.74+23356.16+23356.16+22602.74+23356.16+22602.74</f>
        <v>256930.63</v>
      </c>
      <c r="Q32" s="6">
        <f t="shared" si="2"/>
        <v>23356.159999999974</v>
      </c>
      <c r="R32" s="48">
        <f t="shared" si="3"/>
        <v>10023356.16</v>
      </c>
      <c r="S32" s="49"/>
      <c r="T32" s="49">
        <f>Q32+Q31+Q30+Q29</f>
        <v>77075.33999999997</v>
      </c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/>
      <c r="I33" s="44">
        <v>10000000</v>
      </c>
      <c r="J33" s="32"/>
      <c r="K33" s="47">
        <f t="shared" si="0"/>
        <v>10000000</v>
      </c>
      <c r="L33" s="47">
        <f t="shared" si="1"/>
        <v>10000000</v>
      </c>
      <c r="M33" s="4"/>
      <c r="N33" s="4"/>
      <c r="O33" s="5">
        <f>11301.37+23356.16+23356.16+22602.74+23356.16+22602.74+23356.16</f>
        <v>149931.49000000002</v>
      </c>
      <c r="P33" s="94">
        <f>11301.37+23356.16+23356.16+22602.74+23356.16+22602.74</f>
        <v>126575.33000000002</v>
      </c>
      <c r="Q33" s="6">
        <f t="shared" si="2"/>
        <v>23356.160000000003</v>
      </c>
      <c r="R33" s="48">
        <f t="shared" si="3"/>
        <v>10023356.16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/>
      <c r="I34" s="44">
        <v>15000000</v>
      </c>
      <c r="J34" s="32">
        <f>3387000+1712000+1712000+1716000+294000+2991000+3188000</f>
        <v>15000000</v>
      </c>
      <c r="K34" s="53">
        <f t="shared" si="0"/>
        <v>0</v>
      </c>
      <c r="L34" s="53">
        <f t="shared" si="1"/>
        <v>0</v>
      </c>
      <c r="M34" s="4"/>
      <c r="N34" s="4"/>
      <c r="O34" s="5">
        <f>5650.68+35034.25+29675.36+23410.87+20029.27+16699.35+6893.68</f>
        <v>137393.46</v>
      </c>
      <c r="P34" s="94">
        <f>5650.68+35034.25+29675.36+23410.87+20029.27+16699.35</f>
        <v>130499.78</v>
      </c>
      <c r="Q34" s="6">
        <f t="shared" si="2"/>
        <v>6893.679999999993</v>
      </c>
      <c r="R34" s="48">
        <f t="shared" si="3"/>
        <v>6893.679999999993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/>
      <c r="I35" s="137">
        <v>6500000</v>
      </c>
      <c r="J35" s="138"/>
      <c r="K35" s="53">
        <f t="shared" si="0"/>
        <v>6500000</v>
      </c>
      <c r="L35" s="53">
        <f t="shared" si="1"/>
        <v>6500000</v>
      </c>
      <c r="M35" s="139"/>
      <c r="N35" s="139"/>
      <c r="O35" s="5">
        <f>8815.07+15181.51</f>
        <v>23996.58</v>
      </c>
      <c r="P35" s="140">
        <v>8815.07</v>
      </c>
      <c r="Q35" s="32">
        <f t="shared" si="2"/>
        <v>15181.510000000002</v>
      </c>
      <c r="R35" s="32">
        <f t="shared" si="3"/>
        <v>6515181.51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/>
      <c r="I36" s="137">
        <v>12400000</v>
      </c>
      <c r="J36" s="138"/>
      <c r="K36" s="153">
        <f t="shared" si="0"/>
        <v>12400000</v>
      </c>
      <c r="L36" s="153">
        <f t="shared" si="1"/>
        <v>12400000</v>
      </c>
      <c r="M36" s="139"/>
      <c r="N36" s="139"/>
      <c r="O36" s="154">
        <v>7473.97</v>
      </c>
      <c r="P36" s="140">
        <v>0</v>
      </c>
      <c r="Q36" s="32">
        <f t="shared" si="2"/>
        <v>7473.97</v>
      </c>
      <c r="R36" s="32">
        <f t="shared" si="3"/>
        <v>12407473.97</v>
      </c>
      <c r="S36" s="49"/>
      <c r="T36" s="49">
        <f>Q36+Q35+Q34+Q33</f>
        <v>52905.32</v>
      </c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thickBot="1">
      <c r="A37" s="95" t="s">
        <v>21</v>
      </c>
      <c r="B37" s="18"/>
      <c r="C37" s="18"/>
      <c r="D37" s="96"/>
      <c r="E37" s="97"/>
      <c r="F37" s="98"/>
      <c r="G37" s="98"/>
      <c r="H37" s="136">
        <f>H23+H24+H25+H26+H27+H28+H29+H30+H31+H32+H33+H34+H35+H36</f>
        <v>61387000</v>
      </c>
      <c r="I37" s="136">
        <f aca="true" t="shared" si="4" ref="I37:S37">I23+I24+I25+I26+I27+I28+I29+I30+I31+I32+I33+I34+I35+I36</f>
        <v>43900000</v>
      </c>
      <c r="J37" s="136">
        <f t="shared" si="4"/>
        <v>25014000</v>
      </c>
      <c r="K37" s="136">
        <f t="shared" si="4"/>
        <v>80273000</v>
      </c>
      <c r="L37" s="136">
        <f t="shared" si="4"/>
        <v>80273000</v>
      </c>
      <c r="M37" s="136">
        <f t="shared" si="4"/>
        <v>0</v>
      </c>
      <c r="N37" s="136">
        <f t="shared" si="4"/>
        <v>126449.07000000002</v>
      </c>
      <c r="O37" s="136">
        <f t="shared" si="4"/>
        <v>1818485.53</v>
      </c>
      <c r="P37" s="136">
        <f t="shared" si="4"/>
        <v>1768511.3800000004</v>
      </c>
      <c r="Q37" s="136">
        <f t="shared" si="4"/>
        <v>176423.22</v>
      </c>
      <c r="R37" s="136">
        <f t="shared" si="4"/>
        <v>80449423.22</v>
      </c>
      <c r="S37" s="136">
        <f t="shared" si="4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19" ht="16.5" customHeight="1" thickBot="1">
      <c r="A38" s="141" t="s">
        <v>19</v>
      </c>
      <c r="B38" s="142" t="s">
        <v>23</v>
      </c>
      <c r="C38" s="142"/>
      <c r="D38" s="142"/>
      <c r="E38" s="142"/>
      <c r="F38" s="142"/>
      <c r="G38" s="20"/>
      <c r="H38" s="10"/>
      <c r="I38" s="10"/>
      <c r="J38" s="10"/>
      <c r="K38" s="10"/>
      <c r="L38" s="99"/>
      <c r="M38" s="10"/>
      <c r="N38" s="10"/>
      <c r="O38" s="10"/>
      <c r="P38" s="146"/>
      <c r="Q38" s="10"/>
      <c r="R38" s="147"/>
      <c r="S38" s="25"/>
    </row>
    <row r="39" spans="1:19" ht="69" customHeight="1">
      <c r="A39" s="144">
        <v>1</v>
      </c>
      <c r="B39" s="42" t="s">
        <v>23</v>
      </c>
      <c r="C39" s="145" t="s">
        <v>60</v>
      </c>
      <c r="D39" s="132" t="s">
        <v>61</v>
      </c>
      <c r="E39" s="17">
        <v>9000000</v>
      </c>
      <c r="F39" s="132" t="s">
        <v>68</v>
      </c>
      <c r="G39" s="133" t="s">
        <v>28</v>
      </c>
      <c r="H39" s="3">
        <v>0</v>
      </c>
      <c r="I39" s="156">
        <v>9000000</v>
      </c>
      <c r="J39" s="3">
        <v>0</v>
      </c>
      <c r="K39" s="6">
        <f>H39+I39-J39</f>
        <v>9000000</v>
      </c>
      <c r="L39" s="6">
        <f>K39</f>
        <v>9000000</v>
      </c>
      <c r="M39" s="3"/>
      <c r="N39" s="3">
        <v>0</v>
      </c>
      <c r="O39" s="3">
        <f>178520.55+162739.73+139068.5+151643.84+156698.63+21698.62</f>
        <v>810369.87</v>
      </c>
      <c r="P39" s="17">
        <f>181479.45+181479.45+139068.5+97111.84+41956.66+12575.34+156698.63</f>
        <v>810369.87</v>
      </c>
      <c r="Q39" s="6">
        <f>N39+O39-P39</f>
        <v>0</v>
      </c>
      <c r="R39" s="6">
        <f>K39+N39+O39-P39</f>
        <v>9000000</v>
      </c>
      <c r="S39" s="25"/>
    </row>
    <row r="40" spans="1:19" ht="69" customHeight="1">
      <c r="A40" s="152">
        <v>2</v>
      </c>
      <c r="B40" s="42" t="s">
        <v>23</v>
      </c>
      <c r="C40" s="145" t="s">
        <v>66</v>
      </c>
      <c r="D40" s="132" t="s">
        <v>61</v>
      </c>
      <c r="E40" s="17">
        <v>5000000</v>
      </c>
      <c r="F40" s="132" t="s">
        <v>67</v>
      </c>
      <c r="G40" s="133" t="s">
        <v>28</v>
      </c>
      <c r="H40" s="3">
        <v>0</v>
      </c>
      <c r="I40" s="156">
        <v>5000000</v>
      </c>
      <c r="J40" s="3">
        <v>0</v>
      </c>
      <c r="K40" s="6">
        <f>H40+I40-J40</f>
        <v>5000000</v>
      </c>
      <c r="L40" s="6">
        <f>K40</f>
        <v>5000000</v>
      </c>
      <c r="M40" s="3"/>
      <c r="N40" s="3">
        <v>0</v>
      </c>
      <c r="O40" s="3">
        <v>33698.63</v>
      </c>
      <c r="P40" s="17">
        <v>33698.63</v>
      </c>
      <c r="Q40" s="6">
        <f>N40+O40-P40</f>
        <v>0</v>
      </c>
      <c r="R40" s="6">
        <f>K40+N40+O40-P40</f>
        <v>5000000</v>
      </c>
      <c r="S40" s="25"/>
    </row>
    <row r="41" spans="1:19" ht="16.5" customHeight="1" thickBot="1">
      <c r="A41" s="95" t="s">
        <v>21</v>
      </c>
      <c r="B41" s="143"/>
      <c r="C41" s="143"/>
      <c r="D41" s="14"/>
      <c r="E41" s="14"/>
      <c r="F41" s="14"/>
      <c r="G41" s="14"/>
      <c r="H41" s="1">
        <f>H39+H40</f>
        <v>0</v>
      </c>
      <c r="I41" s="155">
        <f aca="true" t="shared" si="5" ref="I41:R41">I39+I40</f>
        <v>14000000</v>
      </c>
      <c r="J41" s="155">
        <f t="shared" si="5"/>
        <v>0</v>
      </c>
      <c r="K41" s="155">
        <f t="shared" si="5"/>
        <v>14000000</v>
      </c>
      <c r="L41" s="155">
        <f t="shared" si="5"/>
        <v>14000000</v>
      </c>
      <c r="M41" s="1">
        <f t="shared" si="5"/>
        <v>0</v>
      </c>
      <c r="N41" s="1">
        <f t="shared" si="5"/>
        <v>0</v>
      </c>
      <c r="O41" s="1">
        <f t="shared" si="5"/>
        <v>844068.5</v>
      </c>
      <c r="P41" s="1">
        <f t="shared" si="5"/>
        <v>844068.5</v>
      </c>
      <c r="Q41" s="1">
        <f t="shared" si="5"/>
        <v>0</v>
      </c>
      <c r="R41" s="1">
        <f t="shared" si="5"/>
        <v>14000000</v>
      </c>
      <c r="S41" s="25"/>
    </row>
    <row r="42" spans="1:35" s="83" customFormat="1" ht="18" customHeight="1" thickBot="1">
      <c r="A42" s="101" t="s">
        <v>5</v>
      </c>
      <c r="B42" s="102" t="s">
        <v>22</v>
      </c>
      <c r="C42" s="102"/>
      <c r="D42" s="148"/>
      <c r="E42" s="148"/>
      <c r="F42" s="148"/>
      <c r="G42" s="148"/>
      <c r="H42" s="148"/>
      <c r="I42" s="143"/>
      <c r="J42" s="143"/>
      <c r="K42" s="143"/>
      <c r="L42" s="143"/>
      <c r="M42" s="143"/>
      <c r="N42" s="143"/>
      <c r="O42" s="143"/>
      <c r="P42" s="151"/>
      <c r="Q42" s="143"/>
      <c r="R42" s="149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5" s="83" customFormat="1" ht="69.75" customHeight="1" hidden="1">
      <c r="A43" s="101"/>
      <c r="B43" s="103"/>
      <c r="C43" s="104"/>
      <c r="D43" s="104"/>
      <c r="E43" s="105"/>
      <c r="F43" s="104"/>
      <c r="G43" s="46"/>
      <c r="H43" s="62"/>
      <c r="I43" s="62"/>
      <c r="J43" s="33"/>
      <c r="K43" s="62"/>
      <c r="L43" s="32"/>
      <c r="M43" s="21"/>
      <c r="N43" s="21"/>
      <c r="O43" s="21"/>
      <c r="P43" s="150"/>
      <c r="Q43" s="62"/>
      <c r="R43" s="62"/>
      <c r="S43" s="82"/>
      <c r="T43" s="106"/>
      <c r="U43" s="106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83" customFormat="1" ht="18" customHeight="1" thickBot="1">
      <c r="A44" s="107" t="s">
        <v>21</v>
      </c>
      <c r="B44" s="108"/>
      <c r="C44" s="109"/>
      <c r="D44" s="109"/>
      <c r="E44" s="110"/>
      <c r="F44" s="111"/>
      <c r="G44" s="104"/>
      <c r="H44" s="34">
        <f>H43</f>
        <v>0</v>
      </c>
      <c r="I44" s="34">
        <f>I43</f>
        <v>0</v>
      </c>
      <c r="J44" s="34">
        <f>J43</f>
        <v>0</v>
      </c>
      <c r="K44" s="34">
        <f>K43</f>
        <v>0</v>
      </c>
      <c r="L44" s="34">
        <f>L43</f>
        <v>0</v>
      </c>
      <c r="M44" s="22">
        <v>3</v>
      </c>
      <c r="N44" s="22">
        <v>0</v>
      </c>
      <c r="O44" s="22">
        <v>0</v>
      </c>
      <c r="P44" s="22">
        <v>0</v>
      </c>
      <c r="Q44" s="34">
        <f>K44</f>
        <v>0</v>
      </c>
      <c r="R44" s="34">
        <f>Q44</f>
        <v>0</v>
      </c>
      <c r="S44" s="82"/>
      <c r="T44" s="11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20" ht="16.5" customHeight="1" thickBot="1">
      <c r="A45" s="113"/>
      <c r="B45" s="20" t="s">
        <v>16</v>
      </c>
      <c r="C45" s="19"/>
      <c r="D45" s="19"/>
      <c r="E45" s="19"/>
      <c r="F45" s="100"/>
      <c r="G45" s="114"/>
      <c r="H45" s="23">
        <f>H37+H43+H41</f>
        <v>61387000</v>
      </c>
      <c r="I45" s="23">
        <f aca="true" t="shared" si="6" ref="I45:R45">I37+I43+I41</f>
        <v>57900000</v>
      </c>
      <c r="J45" s="23">
        <f t="shared" si="6"/>
        <v>25014000</v>
      </c>
      <c r="K45" s="23">
        <f t="shared" si="6"/>
        <v>94273000</v>
      </c>
      <c r="L45" s="23">
        <f t="shared" si="6"/>
        <v>94273000</v>
      </c>
      <c r="M45" s="23">
        <f t="shared" si="6"/>
        <v>0</v>
      </c>
      <c r="N45" s="23">
        <f t="shared" si="6"/>
        <v>126449.07000000002</v>
      </c>
      <c r="O45" s="23">
        <f t="shared" si="6"/>
        <v>2662554.0300000003</v>
      </c>
      <c r="P45" s="23">
        <f t="shared" si="6"/>
        <v>2612579.8800000004</v>
      </c>
      <c r="Q45" s="23">
        <f t="shared" si="6"/>
        <v>176423.22</v>
      </c>
      <c r="R45" s="23">
        <f t="shared" si="6"/>
        <v>94449423.22</v>
      </c>
      <c r="S45" s="25"/>
      <c r="T45" s="115"/>
    </row>
    <row r="46" spans="1:19" ht="16.5" customHeight="1">
      <c r="A46" s="25"/>
      <c r="B46" s="82"/>
      <c r="C46" s="10"/>
      <c r="D46" s="10"/>
      <c r="E46" s="10"/>
      <c r="F46" s="10"/>
      <c r="G46" s="10"/>
      <c r="H46" s="24"/>
      <c r="I46" s="24"/>
      <c r="J46" s="24"/>
      <c r="K46" s="24"/>
      <c r="L46" s="24"/>
      <c r="M46" s="40"/>
      <c r="N46" s="24"/>
      <c r="O46" s="24"/>
      <c r="P46" s="24"/>
      <c r="Q46" s="24"/>
      <c r="R46" s="24"/>
      <c r="S46" s="25"/>
    </row>
    <row r="47" spans="1:19" ht="16.5" customHeight="1">
      <c r="A47" s="25"/>
      <c r="B47" s="10" t="s">
        <v>38</v>
      </c>
      <c r="C47" s="10"/>
      <c r="D47" s="10"/>
      <c r="E47" s="10"/>
      <c r="F47" s="10"/>
      <c r="G47" s="10"/>
      <c r="H47" s="24" t="s">
        <v>47</v>
      </c>
      <c r="I47" s="24"/>
      <c r="J47" s="24"/>
      <c r="K47" s="24"/>
      <c r="L47" s="24"/>
      <c r="M47" s="40"/>
      <c r="N47" s="24"/>
      <c r="O47" s="24"/>
      <c r="P47" s="40"/>
      <c r="Q47" s="24"/>
      <c r="R47" s="24"/>
      <c r="S47" s="25"/>
    </row>
    <row r="48" spans="1:19" ht="16.5" customHeight="1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4"/>
      <c r="Q48" s="10"/>
      <c r="R48" s="10"/>
      <c r="S48" s="25"/>
    </row>
    <row r="49" spans="1:19" ht="15.75" customHeight="1">
      <c r="A49" s="25"/>
      <c r="B49" s="10" t="s">
        <v>27</v>
      </c>
      <c r="C49" s="10"/>
      <c r="D49" s="116"/>
      <c r="E49" s="117"/>
      <c r="F49" s="117"/>
      <c r="G49" s="117"/>
      <c r="H49" s="35"/>
      <c r="I49" s="35"/>
      <c r="J49" s="35"/>
      <c r="K49" s="35"/>
      <c r="L49" s="35"/>
      <c r="M49" s="10"/>
      <c r="N49" s="10"/>
      <c r="O49" s="10"/>
      <c r="P49" s="10"/>
      <c r="Q49" s="10"/>
      <c r="R49" s="10"/>
      <c r="S49" s="25"/>
    </row>
    <row r="50" spans="1:19" ht="15.75" customHeight="1">
      <c r="A50" s="25"/>
      <c r="B50" s="10" t="s">
        <v>26</v>
      </c>
      <c r="C50" s="10"/>
      <c r="D50" s="116"/>
      <c r="E50" s="117"/>
      <c r="F50" s="117"/>
      <c r="G50" s="117"/>
      <c r="H50" s="35"/>
      <c r="I50" s="35"/>
      <c r="J50" s="35"/>
      <c r="K50" s="118"/>
      <c r="L50" s="118"/>
      <c r="M50" s="10"/>
      <c r="N50" s="10"/>
      <c r="O50" s="10"/>
      <c r="P50" s="10"/>
      <c r="Q50" s="10"/>
      <c r="R50" s="10"/>
      <c r="S50" s="25"/>
    </row>
    <row r="51" spans="1:19" ht="12.75">
      <c r="A51" s="25"/>
      <c r="B51" s="10"/>
      <c r="C51" s="10"/>
      <c r="D51" s="39"/>
      <c r="E51" s="10"/>
      <c r="F51" s="10"/>
      <c r="G51" s="10"/>
      <c r="H51" s="36"/>
      <c r="I51" s="36"/>
      <c r="J51" s="36"/>
      <c r="K51" s="36"/>
      <c r="L51" s="36"/>
      <c r="M51" s="10"/>
      <c r="N51" s="10"/>
      <c r="O51" s="10"/>
      <c r="P51" s="10"/>
      <c r="Q51" s="10"/>
      <c r="R51" s="10"/>
      <c r="S51" s="25"/>
    </row>
    <row r="52" spans="1:19" ht="0.75" customHeight="1">
      <c r="A52" s="25"/>
      <c r="B52" s="10"/>
      <c r="C52" s="10"/>
      <c r="D52" s="39"/>
      <c r="E52" s="10"/>
      <c r="F52" s="10"/>
      <c r="G52" s="10"/>
      <c r="H52" s="119"/>
      <c r="I52" s="36"/>
      <c r="J52" s="36"/>
      <c r="K52" s="36"/>
      <c r="L52" s="36"/>
      <c r="M52" s="10"/>
      <c r="N52" s="10"/>
      <c r="O52" s="10"/>
      <c r="P52" s="10"/>
      <c r="Q52" s="10"/>
      <c r="R52" s="10"/>
      <c r="S52" s="25"/>
    </row>
    <row r="53" spans="1:19" ht="14.25" customHeight="1" hidden="1">
      <c r="A53" s="25"/>
      <c r="B53" s="10"/>
      <c r="C53" s="10"/>
      <c r="D53" s="39"/>
      <c r="E53" s="10"/>
      <c r="F53" s="10"/>
      <c r="G53" s="10"/>
      <c r="H53" s="36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13.5" customHeight="1" hidden="1">
      <c r="A54" s="25"/>
      <c r="B54" s="10"/>
      <c r="C54" s="10"/>
      <c r="D54" s="10"/>
      <c r="E54" s="10"/>
      <c r="F54" s="10"/>
      <c r="G54" s="10"/>
      <c r="H54" s="37"/>
      <c r="I54" s="37"/>
      <c r="J54" s="37"/>
      <c r="K54" s="37"/>
      <c r="L54" s="37"/>
      <c r="M54" s="10"/>
      <c r="N54" s="10"/>
      <c r="O54" s="10"/>
      <c r="P54" s="10"/>
      <c r="Q54" s="10"/>
      <c r="R54" s="10"/>
      <c r="S54" s="25"/>
    </row>
    <row r="55" spans="2:18" s="25" customFormat="1" ht="12.75" customHeight="1">
      <c r="B55" s="10" t="s">
        <v>14</v>
      </c>
      <c r="C55" s="39"/>
      <c r="D55" s="120"/>
      <c r="E55" s="121"/>
      <c r="F55" s="10"/>
      <c r="G55" s="10"/>
      <c r="H55" s="37"/>
      <c r="I55" s="37"/>
      <c r="J55" s="37"/>
      <c r="K55" s="37"/>
      <c r="L55" s="37"/>
      <c r="M55" s="10"/>
      <c r="N55" s="10"/>
      <c r="O55" s="10"/>
      <c r="P55" s="10"/>
      <c r="Q55" s="10"/>
      <c r="R55" s="10"/>
    </row>
    <row r="56" spans="1:18" s="25" customFormat="1" ht="9.75" customHeight="1">
      <c r="A56" s="122"/>
      <c r="B56" s="123" t="s">
        <v>20</v>
      </c>
      <c r="C56" s="10"/>
      <c r="D56" s="10"/>
      <c r="E56" s="124"/>
      <c r="F56" s="124"/>
      <c r="G56" s="125"/>
      <c r="H56" s="38"/>
      <c r="I56" s="38"/>
      <c r="J56" s="38"/>
      <c r="K56" s="38"/>
      <c r="L56" s="38"/>
      <c r="M56" s="10"/>
      <c r="N56" s="10"/>
      <c r="O56" s="10"/>
      <c r="P56" s="10"/>
      <c r="Q56" s="10"/>
      <c r="R56" s="10"/>
    </row>
    <row r="57" spans="2:18" s="25" customFormat="1" ht="12.75">
      <c r="B57" s="39"/>
      <c r="C57" s="10"/>
      <c r="D57" s="116"/>
      <c r="E57" s="38"/>
      <c r="F57" s="38"/>
      <c r="G57" s="38"/>
      <c r="H57" s="35"/>
      <c r="I57" s="35"/>
      <c r="J57" s="35"/>
      <c r="K57" s="35"/>
      <c r="L57" s="35"/>
      <c r="M57" s="10"/>
      <c r="N57" s="10"/>
      <c r="O57" s="10"/>
      <c r="P57" s="10"/>
      <c r="Q57" s="10"/>
      <c r="R57" s="10"/>
    </row>
    <row r="58" spans="2:18" s="25" customFormat="1" ht="12.75">
      <c r="B58" s="10"/>
      <c r="C58" s="10"/>
      <c r="D58" s="116"/>
      <c r="E58" s="38"/>
      <c r="F58" s="38"/>
      <c r="G58" s="38"/>
      <c r="H58" s="35"/>
      <c r="I58" s="35"/>
      <c r="J58" s="35"/>
      <c r="K58" s="35"/>
      <c r="L58" s="35"/>
      <c r="M58" s="10"/>
      <c r="N58" s="10"/>
      <c r="O58" s="10"/>
      <c r="P58" s="10"/>
      <c r="Q58" s="10"/>
      <c r="R58" s="10"/>
    </row>
    <row r="59" spans="2:18" s="25" customFormat="1" ht="12.75">
      <c r="B59" s="10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126"/>
      <c r="G61" s="126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1:18" s="25" customFormat="1" ht="18.75">
      <c r="A62" s="122"/>
      <c r="B62" s="122"/>
      <c r="C62" s="127"/>
      <c r="D62" s="127"/>
      <c r="E62" s="127"/>
      <c r="F62" s="127"/>
      <c r="G62" s="127"/>
      <c r="H62" s="39"/>
      <c r="I62" s="39"/>
      <c r="J62" s="39"/>
      <c r="K62" s="39"/>
      <c r="L62" s="39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8"/>
      <c r="B66" s="10"/>
      <c r="C66" s="10"/>
      <c r="D66" s="10"/>
      <c r="E66" s="125"/>
      <c r="F66" s="125"/>
      <c r="G66" s="125"/>
      <c r="H66" s="38"/>
      <c r="I66" s="38"/>
      <c r="J66" s="38"/>
      <c r="K66" s="38"/>
      <c r="L66" s="38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117"/>
      <c r="F67" s="129"/>
      <c r="G67" s="129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117"/>
      <c r="F68" s="129"/>
      <c r="G68" s="129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2"/>
      <c r="B70" s="122"/>
      <c r="C70" s="122"/>
      <c r="D70" s="122"/>
      <c r="E70" s="122"/>
      <c r="F70" s="122"/>
      <c r="G70" s="130"/>
      <c r="H70" s="131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17"/>
      <c r="G72" s="117"/>
      <c r="H72" s="35"/>
      <c r="I72" s="35"/>
      <c r="J72" s="35"/>
      <c r="K72" s="118"/>
      <c r="L72" s="118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39"/>
      <c r="E73" s="10"/>
      <c r="F73" s="10"/>
      <c r="G73" s="10"/>
      <c r="H73" s="36"/>
      <c r="I73" s="36"/>
      <c r="J73" s="36"/>
      <c r="K73" s="36"/>
      <c r="L73" s="36"/>
      <c r="M73" s="10"/>
      <c r="N73" s="10"/>
      <c r="O73" s="10"/>
      <c r="Q73" s="10"/>
      <c r="R73" s="10"/>
    </row>
    <row r="74" s="25" customFormat="1" ht="12.75">
      <c r="P74" s="8"/>
    </row>
  </sheetData>
  <sheetProtection/>
  <mergeCells count="2">
    <mergeCell ref="C5:M5"/>
    <mergeCell ref="B10:R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6"/>
  <sheetViews>
    <sheetView zoomScalePageLayoutView="0" workbookViewId="0" topLeftCell="E37">
      <selection activeCell="J42" sqref="J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106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107</v>
      </c>
      <c r="J8" s="11" t="s">
        <v>108</v>
      </c>
      <c r="K8" s="11" t="s">
        <v>109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2605.66+2437.55+2605.66+2521.61+2605.66+1833.13+71.06+71.06+68.77</f>
        <v>14820.16</v>
      </c>
      <c r="P25" s="7">
        <f>2939.37+2605.66+2437.55+2605.66+2521.61+2605.66+1833.13+71.06+71.06</f>
        <v>17690.760000000002</v>
      </c>
      <c r="Q25" s="6">
        <f t="shared" si="2"/>
        <v>68.7699999999968</v>
      </c>
      <c r="R25" s="48">
        <f t="shared" si="3"/>
        <v>839068.77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6782.79+6345.19+6782.79+6563.99+6782.79+4771.81+184.98+184.98+179.02</f>
        <v>38578.340000000004</v>
      </c>
      <c r="P26" s="7">
        <f>7651.48+6782.79+6345.19+6782.79+6563.99+6782.79+4771.81+184.98+184.98</f>
        <v>46050.8</v>
      </c>
      <c r="Q26" s="6">
        <f t="shared" si="2"/>
        <v>179.02000000000407</v>
      </c>
      <c r="R26" s="48">
        <f t="shared" si="3"/>
        <v>2184179.02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16068.36+12598.02+11532.07+8820.12+6520.92+3758.36</f>
        <v>59297.85</v>
      </c>
      <c r="P27" s="7">
        <f>12495.55+16068.36+12598.02+11532.07+8820.12+6520.92+3758.36</f>
        <v>71793.40000000001</v>
      </c>
      <c r="Q27" s="6">
        <f t="shared" si="2"/>
        <v>0</v>
      </c>
      <c r="R27" s="48">
        <f t="shared" si="3"/>
        <v>1650000.0000000002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29871.58+24494.76+24036.92+20664.76+18475.76+12413.95</f>
        <v>129957.72999999998</v>
      </c>
      <c r="P28" s="7">
        <f>23356.16+29871.58+24494.76+24036.92+20664.76+18475.76+12413.95</f>
        <v>153313.89</v>
      </c>
      <c r="Q28" s="6">
        <f t="shared" si="2"/>
        <v>0</v>
      </c>
      <c r="R28" s="48">
        <f t="shared" si="3"/>
        <v>5450000.000000001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30371.7+26418.27+26999.14+24627.2+23415.78+17112.65+4695.74+4695.74+4457.53</f>
        <v>162793.74999999997</v>
      </c>
      <c r="P29" s="7">
        <f>23356.16+30371.7+26418.27+26999.14+24627.2+23415.78+17112.65+4695.74+4695.74</f>
        <v>181692.37999999998</v>
      </c>
      <c r="Q29" s="6">
        <f t="shared" si="2"/>
        <v>4457.529999999999</v>
      </c>
      <c r="R29" s="48">
        <f t="shared" si="3"/>
        <v>7111457.53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21233.1+18388.6+18738.94+17024.41+16361.7+12978.59+6913.17+6913.17+6562.48</f>
        <v>125114.15999999999</v>
      </c>
      <c r="P30" s="7">
        <f>16349.32+21233.1+18388.6+18738.94+17024.41+16361.7+12978.59+6913.17+6913.17</f>
        <v>134901</v>
      </c>
      <c r="Q30" s="6">
        <f t="shared" si="2"/>
        <v>6562.479999999981</v>
      </c>
      <c r="R30" s="48">
        <f t="shared" si="3"/>
        <v>5061562.48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18634.05+17431.85+18634.05+18032.95+18634.05+17568.38+17786.89+17786.89+16884.59</f>
        <v>161393.69999999998</v>
      </c>
      <c r="P31" s="94">
        <f>14013.7+18634.05+17431.85+18634.05+18032.95+18634.05+17568.38+17786.89+17786.89</f>
        <v>158522.81</v>
      </c>
      <c r="Q31" s="6">
        <f t="shared" si="2"/>
        <v>16884.589999999997</v>
      </c>
      <c r="R31" s="48">
        <f t="shared" si="3"/>
        <v>6016884.590000001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31056.75+29053.09+31056.75+30054.92+31056.75+29280.63+29644.81+29644.81+28140.98</f>
        <v>268989.49</v>
      </c>
      <c r="P32" s="135">
        <f>23356.16+31056.75+29053.09+31056.75+30054.92+31056.75+29280.63+29644.81+29644.81</f>
        <v>264204.67</v>
      </c>
      <c r="Q32" s="6">
        <f t="shared" si="2"/>
        <v>28140.97999999998</v>
      </c>
      <c r="R32" s="48">
        <f t="shared" si="3"/>
        <v>10028140.98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31056.75+29053.09+31056.75+30054.92+31056.75+29280.63+29644.81+29644.81+28140.98</f>
        <v>268989.49</v>
      </c>
      <c r="P33" s="94">
        <f>23356.16+31056.75+29053.09+31056.75+30054.92+31056.75+29280.63+29644.81+29644.81</f>
        <v>264204.67</v>
      </c>
      <c r="Q33" s="6">
        <f t="shared" si="2"/>
        <v>28140.97999999998</v>
      </c>
      <c r="R33" s="48">
        <f t="shared" si="3"/>
        <v>10028140.98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20186.89+18884.51+20186.89+19535.7+20186.89+19032.41+19269.13+19269.13+18291.63</f>
        <v>174843.18</v>
      </c>
      <c r="P35" s="140">
        <f>15181.51+20186.89+18884.51+20186.89+19535.7+20186.89+19032.41+19269.13+19269.13</f>
        <v>171733.06</v>
      </c>
      <c r="Q35" s="32">
        <f t="shared" si="2"/>
        <v>18291.630000000005</v>
      </c>
      <c r="R35" s="32">
        <f t="shared" si="3"/>
        <v>6518291.63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38510.37+36025.83+38510.37+37268.1+38510.37+36307.98+36759.56+36759.56+34894.82</f>
        <v>333546.96</v>
      </c>
      <c r="P36" s="140">
        <f>7473.97+38510.37+36025.83+38510.37+37268.1+38510.37+36307.98+36759.56+36759.56</f>
        <v>306126.11000000004</v>
      </c>
      <c r="Q36" s="32">
        <f t="shared" si="2"/>
        <v>34894.81999999995</v>
      </c>
      <c r="R36" s="32">
        <f t="shared" si="3"/>
        <v>12434894.820000002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104</v>
      </c>
      <c r="D37" s="52" t="s">
        <v>34</v>
      </c>
      <c r="E37" s="44">
        <v>24800</v>
      </c>
      <c r="F37" s="45" t="s">
        <v>105</v>
      </c>
      <c r="G37" s="46" t="s">
        <v>28</v>
      </c>
      <c r="H37" s="137"/>
      <c r="I37" s="137">
        <v>24800000</v>
      </c>
      <c r="J37" s="138"/>
      <c r="K37" s="153">
        <f>H37+I37-J37</f>
        <v>24800000</v>
      </c>
      <c r="L37" s="153">
        <f>K37</f>
        <v>24800000</v>
      </c>
      <c r="M37" s="139"/>
      <c r="N37" s="139"/>
      <c r="O37" s="154">
        <f>54546.45+69789.63</f>
        <v>124336.08</v>
      </c>
      <c r="P37" s="140">
        <v>54546.45</v>
      </c>
      <c r="Q37" s="32">
        <f>N37+O37-P37</f>
        <v>69789.63</v>
      </c>
      <c r="R37" s="32">
        <f>K37+N37+O37-P37</f>
        <v>24869789.63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.75" customHeight="1" thickBot="1">
      <c r="A38" s="95" t="s">
        <v>21</v>
      </c>
      <c r="B38" s="18"/>
      <c r="C38" s="18"/>
      <c r="D38" s="96"/>
      <c r="E38" s="97"/>
      <c r="F38" s="98"/>
      <c r="G38" s="98"/>
      <c r="H38" s="136">
        <f aca="true" t="shared" si="4" ref="H38:S38">H23+H24+H25+H26+H27+H28+H29+H30+H31+H32+H33+H34+H35+H36+H37</f>
        <v>80273000</v>
      </c>
      <c r="I38" s="136">
        <f t="shared" si="4"/>
        <v>24800000</v>
      </c>
      <c r="J38" s="136">
        <f t="shared" si="4"/>
        <v>13088000</v>
      </c>
      <c r="K38" s="136">
        <f t="shared" si="4"/>
        <v>91985000</v>
      </c>
      <c r="L38" s="136">
        <f t="shared" si="4"/>
        <v>91985000</v>
      </c>
      <c r="M38" s="136">
        <f t="shared" si="4"/>
        <v>0</v>
      </c>
      <c r="N38" s="136">
        <f t="shared" si="4"/>
        <v>176423.22</v>
      </c>
      <c r="O38" s="136">
        <f t="shared" si="4"/>
        <v>1862660.89</v>
      </c>
      <c r="P38" s="136">
        <f t="shared" si="4"/>
        <v>1831673.68</v>
      </c>
      <c r="Q38" s="136">
        <f t="shared" si="4"/>
        <v>207410.4299999999</v>
      </c>
      <c r="R38" s="136">
        <f t="shared" si="4"/>
        <v>92192410.43</v>
      </c>
      <c r="S38" s="136">
        <f t="shared" si="4"/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19" ht="16.5" customHeight="1" thickBot="1">
      <c r="A39" s="141" t="s">
        <v>19</v>
      </c>
      <c r="B39" s="142" t="s">
        <v>23</v>
      </c>
      <c r="C39" s="142"/>
      <c r="D39" s="142"/>
      <c r="E39" s="142"/>
      <c r="F39" s="142"/>
      <c r="G39" s="20"/>
      <c r="H39" s="10"/>
      <c r="I39" s="10"/>
      <c r="J39" s="10"/>
      <c r="K39" s="10"/>
      <c r="L39" s="99"/>
      <c r="M39" s="10"/>
      <c r="N39" s="10"/>
      <c r="O39" s="10"/>
      <c r="P39" s="146"/>
      <c r="Q39" s="10"/>
      <c r="R39" s="147"/>
      <c r="S39" s="25"/>
    </row>
    <row r="40" spans="1:19" ht="69" customHeight="1">
      <c r="A40" s="144">
        <v>1</v>
      </c>
      <c r="B40" s="42" t="s">
        <v>23</v>
      </c>
      <c r="C40" s="145" t="s">
        <v>60</v>
      </c>
      <c r="D40" s="132" t="s">
        <v>61</v>
      </c>
      <c r="E40" s="17">
        <v>9000000</v>
      </c>
      <c r="F40" s="132" t="s">
        <v>68</v>
      </c>
      <c r="G40" s="133" t="s">
        <v>28</v>
      </c>
      <c r="H40" s="3">
        <v>9000000</v>
      </c>
      <c r="I40" s="156"/>
      <c r="J40" s="3"/>
      <c r="K40" s="6">
        <f>H40+I40-J40</f>
        <v>9000000</v>
      </c>
      <c r="L40" s="6">
        <f>K40</f>
        <v>9000000</v>
      </c>
      <c r="M40" s="3"/>
      <c r="N40" s="3">
        <v>0</v>
      </c>
      <c r="O40" s="3">
        <f>302459.01+144836.07+140163.93+144836.07+140163.93+136229.51+137213.11+132786.89</f>
        <v>1278688.52</v>
      </c>
      <c r="P40" s="17">
        <f>156270.49+146188.52+144836.07+140163.93+144836.07+140163.93+136229.51+137213.11+132786.89</f>
        <v>1278688.52</v>
      </c>
      <c r="Q40" s="6">
        <f>N40+O40-P40</f>
        <v>0</v>
      </c>
      <c r="R40" s="6">
        <f>K40+N40+O40-P40</f>
        <v>9000000</v>
      </c>
      <c r="S40" s="25"/>
    </row>
    <row r="41" spans="1:19" ht="69" customHeight="1">
      <c r="A41" s="152">
        <v>2</v>
      </c>
      <c r="B41" s="42" t="s">
        <v>23</v>
      </c>
      <c r="C41" s="145" t="s">
        <v>66</v>
      </c>
      <c r="D41" s="132" t="s">
        <v>61</v>
      </c>
      <c r="E41" s="17">
        <v>5000000</v>
      </c>
      <c r="F41" s="132" t="s">
        <v>67</v>
      </c>
      <c r="G41" s="133" t="s">
        <v>28</v>
      </c>
      <c r="H41" s="3">
        <v>5000000</v>
      </c>
      <c r="I41" s="156"/>
      <c r="J41" s="3"/>
      <c r="K41" s="6">
        <f>H41+I41-J41</f>
        <v>5000000</v>
      </c>
      <c r="L41" s="6">
        <f>K41</f>
        <v>5000000</v>
      </c>
      <c r="M41" s="3"/>
      <c r="N41" s="3">
        <v>0</v>
      </c>
      <c r="O41" s="17">
        <f>134426.23+69453.55+67213.11+69453.55+67213.11+69453.55+69453.55+67213.11</f>
        <v>613879.76</v>
      </c>
      <c r="P41" s="17">
        <f>69453.55+64972.68+69453.55+67213.11+69453.55+67213.11+69453.55+69453.55+67213.11</f>
        <v>613879.76</v>
      </c>
      <c r="Q41" s="6">
        <f>N41+O41-P41</f>
        <v>0</v>
      </c>
      <c r="R41" s="6">
        <f>K41+N41+O41-P41</f>
        <v>5000000</v>
      </c>
      <c r="S41" s="25"/>
    </row>
    <row r="42" spans="1:19" ht="69" customHeight="1">
      <c r="A42" s="152">
        <v>2</v>
      </c>
      <c r="B42" s="42" t="s">
        <v>23</v>
      </c>
      <c r="C42" s="145" t="s">
        <v>84</v>
      </c>
      <c r="D42" s="132" t="s">
        <v>61</v>
      </c>
      <c r="E42" s="17"/>
      <c r="F42" s="132" t="s">
        <v>122</v>
      </c>
      <c r="G42" s="133" t="s">
        <v>28</v>
      </c>
      <c r="H42" s="3"/>
      <c r="I42" s="156">
        <v>10000000</v>
      </c>
      <c r="J42" s="3"/>
      <c r="K42" s="6">
        <f>H42+I42-J42</f>
        <v>10000000</v>
      </c>
      <c r="L42" s="6">
        <f>K42</f>
        <v>10000000</v>
      </c>
      <c r="M42" s="3"/>
      <c r="N42" s="3">
        <v>0</v>
      </c>
      <c r="O42" s="3">
        <f>110420.77+155592.9+150573.77+152054.65+152459.02+147540.98</f>
        <v>868642.09</v>
      </c>
      <c r="P42" s="17">
        <f>110420.77+155592.9+150573.77+152054.65+152459.02+147540.98</f>
        <v>868642.09</v>
      </c>
      <c r="Q42" s="6">
        <f>N42+O42-P42</f>
        <v>0</v>
      </c>
      <c r="R42" s="6">
        <f>K42+N42+O42-P42</f>
        <v>10000000</v>
      </c>
      <c r="S42" s="25"/>
    </row>
    <row r="43" spans="1:19" ht="16.5" customHeight="1" thickBot="1">
      <c r="A43" s="95" t="s">
        <v>21</v>
      </c>
      <c r="B43" s="143"/>
      <c r="C43" s="143"/>
      <c r="D43" s="14"/>
      <c r="E43" s="14"/>
      <c r="F43" s="14"/>
      <c r="G43" s="14"/>
      <c r="H43" s="1">
        <f>H40+H41+H42</f>
        <v>14000000</v>
      </c>
      <c r="I43" s="1">
        <f aca="true" t="shared" si="5" ref="I43:S43">I40+I41+I42</f>
        <v>10000000</v>
      </c>
      <c r="J43" s="1">
        <f t="shared" si="5"/>
        <v>0</v>
      </c>
      <c r="K43" s="1">
        <f t="shared" si="5"/>
        <v>24000000</v>
      </c>
      <c r="L43" s="1">
        <f t="shared" si="5"/>
        <v>24000000</v>
      </c>
      <c r="M43" s="1">
        <f t="shared" si="5"/>
        <v>0</v>
      </c>
      <c r="N43" s="1">
        <f t="shared" si="5"/>
        <v>0</v>
      </c>
      <c r="O43" s="1">
        <f t="shared" si="5"/>
        <v>2761210.37</v>
      </c>
      <c r="P43" s="1">
        <f t="shared" si="5"/>
        <v>2761210.37</v>
      </c>
      <c r="Q43" s="1">
        <f t="shared" si="5"/>
        <v>0</v>
      </c>
      <c r="R43" s="1">
        <f t="shared" si="5"/>
        <v>24000000</v>
      </c>
      <c r="S43" s="1">
        <f t="shared" si="5"/>
        <v>0</v>
      </c>
    </row>
    <row r="44" spans="1:35" s="83" customFormat="1" ht="18" customHeight="1" thickBot="1">
      <c r="A44" s="101" t="s">
        <v>5</v>
      </c>
      <c r="B44" s="102" t="s">
        <v>22</v>
      </c>
      <c r="C44" s="102"/>
      <c r="D44" s="148"/>
      <c r="E44" s="148"/>
      <c r="F44" s="148"/>
      <c r="G44" s="148"/>
      <c r="H44" s="148"/>
      <c r="I44" s="143"/>
      <c r="J44" s="143"/>
      <c r="K44" s="143"/>
      <c r="L44" s="143"/>
      <c r="M44" s="143"/>
      <c r="N44" s="143"/>
      <c r="O44" s="143"/>
      <c r="P44" s="151"/>
      <c r="Q44" s="143"/>
      <c r="R44" s="149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83" customFormat="1" ht="69.75" customHeight="1" hidden="1">
      <c r="A45" s="101"/>
      <c r="B45" s="103"/>
      <c r="C45" s="104"/>
      <c r="D45" s="104"/>
      <c r="E45" s="105"/>
      <c r="F45" s="104"/>
      <c r="G45" s="46"/>
      <c r="H45" s="62"/>
      <c r="I45" s="62"/>
      <c r="J45" s="33"/>
      <c r="K45" s="62"/>
      <c r="L45" s="32"/>
      <c r="M45" s="21"/>
      <c r="N45" s="21"/>
      <c r="O45" s="21"/>
      <c r="P45" s="150"/>
      <c r="Q45" s="62"/>
      <c r="R45" s="62"/>
      <c r="S45" s="82"/>
      <c r="T45" s="106"/>
      <c r="U45" s="106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35" s="83" customFormat="1" ht="18" customHeight="1" thickBot="1">
      <c r="A46" s="107" t="s">
        <v>21</v>
      </c>
      <c r="B46" s="108"/>
      <c r="C46" s="109"/>
      <c r="D46" s="109"/>
      <c r="E46" s="110"/>
      <c r="F46" s="111"/>
      <c r="G46" s="104"/>
      <c r="H46" s="34">
        <f>H45</f>
        <v>0</v>
      </c>
      <c r="I46" s="34">
        <f>I45</f>
        <v>0</v>
      </c>
      <c r="J46" s="34">
        <f>J45</f>
        <v>0</v>
      </c>
      <c r="K46" s="34">
        <f>K45</f>
        <v>0</v>
      </c>
      <c r="L46" s="34">
        <f>L45</f>
        <v>0</v>
      </c>
      <c r="M46" s="22">
        <v>3</v>
      </c>
      <c r="N46" s="22">
        <v>0</v>
      </c>
      <c r="O46" s="22">
        <v>0</v>
      </c>
      <c r="P46" s="22">
        <v>0</v>
      </c>
      <c r="Q46" s="34">
        <f>K46</f>
        <v>0</v>
      </c>
      <c r="R46" s="34">
        <f>Q46</f>
        <v>0</v>
      </c>
      <c r="S46" s="82"/>
      <c r="T46" s="11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20" ht="16.5" customHeight="1" thickBot="1">
      <c r="A47" s="113"/>
      <c r="B47" s="20" t="s">
        <v>16</v>
      </c>
      <c r="C47" s="19"/>
      <c r="D47" s="19"/>
      <c r="E47" s="19"/>
      <c r="F47" s="100"/>
      <c r="G47" s="114"/>
      <c r="H47" s="23">
        <f>H38+H45+H43</f>
        <v>94273000</v>
      </c>
      <c r="I47" s="23">
        <f aca="true" t="shared" si="6" ref="I47:R47">I38+I45+I43</f>
        <v>34800000</v>
      </c>
      <c r="J47" s="23">
        <f t="shared" si="6"/>
        <v>13088000</v>
      </c>
      <c r="K47" s="23">
        <f>K38+K45+K43</f>
        <v>115985000</v>
      </c>
      <c r="L47" s="23">
        <f t="shared" si="6"/>
        <v>115985000</v>
      </c>
      <c r="M47" s="23">
        <f t="shared" si="6"/>
        <v>0</v>
      </c>
      <c r="N47" s="23">
        <f t="shared" si="6"/>
        <v>176423.22</v>
      </c>
      <c r="O47" s="23">
        <f t="shared" si="6"/>
        <v>4623871.26</v>
      </c>
      <c r="P47" s="23">
        <f t="shared" si="6"/>
        <v>4592884.05</v>
      </c>
      <c r="Q47" s="23">
        <f t="shared" si="6"/>
        <v>207410.4299999999</v>
      </c>
      <c r="R47" s="23">
        <f t="shared" si="6"/>
        <v>116192410.43</v>
      </c>
      <c r="S47" s="25"/>
      <c r="T47" s="115"/>
    </row>
    <row r="48" spans="1:19" ht="16.5" customHeight="1">
      <c r="A48" s="25"/>
      <c r="B48" s="82"/>
      <c r="C48" s="10"/>
      <c r="D48" s="10"/>
      <c r="E48" s="10"/>
      <c r="F48" s="10"/>
      <c r="G48" s="10"/>
      <c r="H48" s="24"/>
      <c r="I48" s="24"/>
      <c r="J48" s="24"/>
      <c r="K48" s="24"/>
      <c r="L48" s="24"/>
      <c r="M48" s="40"/>
      <c r="N48" s="24"/>
      <c r="O48" s="24"/>
      <c r="P48" s="24"/>
      <c r="Q48" s="24"/>
      <c r="R48" s="24"/>
      <c r="S48" s="25"/>
    </row>
    <row r="49" spans="1:19" ht="16.5" customHeight="1">
      <c r="A49" s="25"/>
      <c r="B49" s="10" t="s">
        <v>38</v>
      </c>
      <c r="C49" s="10"/>
      <c r="D49" s="10"/>
      <c r="E49" s="10"/>
      <c r="F49" s="10"/>
      <c r="G49" s="10"/>
      <c r="H49" s="24" t="s">
        <v>47</v>
      </c>
      <c r="I49" s="24"/>
      <c r="J49" s="24"/>
      <c r="K49" s="24"/>
      <c r="L49" s="24"/>
      <c r="M49" s="40"/>
      <c r="N49" s="24"/>
      <c r="O49" s="24"/>
      <c r="P49" s="40"/>
      <c r="Q49" s="24"/>
      <c r="R49" s="24"/>
      <c r="S49" s="25"/>
    </row>
    <row r="50" spans="1:19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4"/>
      <c r="Q50" s="10"/>
      <c r="R50" s="10"/>
      <c r="S50" s="25"/>
    </row>
    <row r="51" spans="1:19" ht="15.75" customHeight="1">
      <c r="A51" s="25"/>
      <c r="B51" s="10" t="s">
        <v>27</v>
      </c>
      <c r="C51" s="10"/>
      <c r="D51" s="116"/>
      <c r="E51" s="117"/>
      <c r="F51" s="117"/>
      <c r="G51" s="117"/>
      <c r="H51" s="35" t="s">
        <v>74</v>
      </c>
      <c r="I51" s="35"/>
      <c r="J51" s="35"/>
      <c r="K51" s="35"/>
      <c r="L51" s="35"/>
      <c r="M51" s="10"/>
      <c r="N51" s="10"/>
      <c r="O51" s="10"/>
      <c r="P51" s="10"/>
      <c r="Q51" s="10"/>
      <c r="R51" s="10"/>
      <c r="S51" s="25"/>
    </row>
    <row r="52" spans="1:19" ht="15.75" customHeight="1">
      <c r="A52" s="25"/>
      <c r="B52" s="10" t="s">
        <v>26</v>
      </c>
      <c r="C52" s="10"/>
      <c r="D52" s="116"/>
      <c r="E52" s="117"/>
      <c r="F52" s="117"/>
      <c r="G52" s="117"/>
      <c r="H52" s="35"/>
      <c r="I52" s="35"/>
      <c r="J52" s="35"/>
      <c r="K52" s="118"/>
      <c r="L52" s="118"/>
      <c r="M52" s="10"/>
      <c r="N52" s="10"/>
      <c r="O52" s="10"/>
      <c r="P52" s="10"/>
      <c r="Q52" s="10"/>
      <c r="R52" s="10"/>
      <c r="S52" s="25"/>
    </row>
    <row r="53" spans="1:19" ht="12.75">
      <c r="A53" s="25"/>
      <c r="B53" s="10"/>
      <c r="C53" s="10"/>
      <c r="D53" s="39"/>
      <c r="E53" s="10"/>
      <c r="F53" s="10"/>
      <c r="G53" s="10"/>
      <c r="H53" s="36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0.75" customHeight="1">
      <c r="A54" s="25"/>
      <c r="B54" s="10"/>
      <c r="C54" s="10"/>
      <c r="D54" s="39"/>
      <c r="E54" s="10"/>
      <c r="F54" s="10"/>
      <c r="G54" s="10"/>
      <c r="H54" s="119"/>
      <c r="I54" s="36"/>
      <c r="J54" s="36"/>
      <c r="K54" s="36"/>
      <c r="L54" s="36"/>
      <c r="M54" s="10"/>
      <c r="N54" s="10"/>
      <c r="O54" s="10"/>
      <c r="P54" s="10"/>
      <c r="Q54" s="10"/>
      <c r="R54" s="10"/>
      <c r="S54" s="25"/>
    </row>
    <row r="55" spans="1:19" ht="14.25" customHeight="1" hidden="1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0"/>
      <c r="Q55" s="10"/>
      <c r="R55" s="10"/>
      <c r="S55" s="25"/>
    </row>
    <row r="56" spans="1:19" ht="13.5" customHeight="1" hidden="1">
      <c r="A56" s="25"/>
      <c r="B56" s="10"/>
      <c r="C56" s="10"/>
      <c r="D56" s="10"/>
      <c r="E56" s="10"/>
      <c r="F56" s="10"/>
      <c r="G56" s="10"/>
      <c r="H56" s="37"/>
      <c r="I56" s="37"/>
      <c r="J56" s="37"/>
      <c r="K56" s="37"/>
      <c r="L56" s="37"/>
      <c r="M56" s="10"/>
      <c r="N56" s="10"/>
      <c r="O56" s="10"/>
      <c r="P56" s="10"/>
      <c r="Q56" s="10"/>
      <c r="R56" s="10"/>
      <c r="S56" s="25"/>
    </row>
    <row r="57" spans="2:18" s="25" customFormat="1" ht="12.75" customHeight="1">
      <c r="B57" s="10" t="s">
        <v>14</v>
      </c>
      <c r="C57" s="39"/>
      <c r="D57" s="120"/>
      <c r="E57" s="121"/>
      <c r="F57" s="10"/>
      <c r="G57" s="10"/>
      <c r="H57" s="37"/>
      <c r="I57" s="37"/>
      <c r="J57" s="37"/>
      <c r="K57" s="37"/>
      <c r="L57" s="37"/>
      <c r="M57" s="10"/>
      <c r="N57" s="10"/>
      <c r="O57" s="10"/>
      <c r="P57" s="10"/>
      <c r="Q57" s="10"/>
      <c r="R57" s="10"/>
    </row>
    <row r="58" spans="1:18" s="25" customFormat="1" ht="9.75" customHeight="1">
      <c r="A58" s="122"/>
      <c r="B58" s="123" t="s">
        <v>20</v>
      </c>
      <c r="C58" s="10"/>
      <c r="D58" s="10"/>
      <c r="E58" s="124"/>
      <c r="F58" s="124"/>
      <c r="G58" s="125"/>
      <c r="H58" s="38"/>
      <c r="I58" s="38"/>
      <c r="J58" s="38"/>
      <c r="K58" s="38"/>
      <c r="L58" s="38"/>
      <c r="M58" s="10"/>
      <c r="N58" s="10"/>
      <c r="O58" s="10"/>
      <c r="P58" s="10"/>
      <c r="Q58" s="10"/>
      <c r="R58" s="10"/>
    </row>
    <row r="59" spans="2:18" s="25" customFormat="1" ht="12.75">
      <c r="B59" s="39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126"/>
      <c r="G63" s="126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1:18" s="25" customFormat="1" ht="18.75">
      <c r="A64" s="122"/>
      <c r="B64" s="122"/>
      <c r="C64" s="127"/>
      <c r="D64" s="127"/>
      <c r="E64" s="127"/>
      <c r="F64" s="127"/>
      <c r="G64" s="127"/>
      <c r="H64" s="39"/>
      <c r="I64" s="39"/>
      <c r="J64" s="39"/>
      <c r="K64" s="39"/>
      <c r="L64" s="39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1:18" s="25" customFormat="1" ht="18.75">
      <c r="A68" s="128"/>
      <c r="B68" s="10"/>
      <c r="C68" s="10"/>
      <c r="D68" s="10"/>
      <c r="E68" s="125"/>
      <c r="F68" s="125"/>
      <c r="G68" s="125"/>
      <c r="H68" s="38"/>
      <c r="I68" s="38"/>
      <c r="J68" s="38"/>
      <c r="K68" s="38"/>
      <c r="L68" s="38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117"/>
      <c r="F70" s="129"/>
      <c r="G70" s="129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1:18" s="25" customFormat="1" ht="18.75">
      <c r="A72" s="122"/>
      <c r="B72" s="122"/>
      <c r="C72" s="122"/>
      <c r="D72" s="122"/>
      <c r="E72" s="122"/>
      <c r="F72" s="122"/>
      <c r="G72" s="130"/>
      <c r="H72" s="131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17"/>
      <c r="G74" s="117"/>
      <c r="H74" s="35"/>
      <c r="I74" s="35"/>
      <c r="J74" s="35"/>
      <c r="K74" s="118"/>
      <c r="L74" s="118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39"/>
      <c r="E75" s="10"/>
      <c r="F75" s="10"/>
      <c r="G75" s="10"/>
      <c r="H75" s="36"/>
      <c r="I75" s="36"/>
      <c r="J75" s="36"/>
      <c r="K75" s="36"/>
      <c r="L75" s="36"/>
      <c r="M75" s="10"/>
      <c r="N75" s="10"/>
      <c r="O75" s="10"/>
      <c r="Q75" s="10"/>
      <c r="R75" s="10"/>
    </row>
    <row r="76" s="25" customFormat="1" ht="12.75">
      <c r="P76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2" fitToWidth="1"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6"/>
  <sheetViews>
    <sheetView zoomScalePageLayoutView="0" workbookViewId="0" topLeftCell="A37">
      <selection activeCell="H40" sqref="H40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110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111</v>
      </c>
      <c r="J8" s="11" t="s">
        <v>112</v>
      </c>
      <c r="K8" s="11" t="s">
        <v>113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2605.66+2437.55+2605.66+2521.61+2605.66+1833.13+71.06+71.06+68.77+71.06</f>
        <v>14891.22</v>
      </c>
      <c r="P25" s="7">
        <f>2939.37+2605.66+2437.55+2605.66+2521.61+2605.66+1833.13+71.06+71.06+68.77</f>
        <v>17759.530000000002</v>
      </c>
      <c r="Q25" s="6">
        <f t="shared" si="2"/>
        <v>71.05999999999767</v>
      </c>
      <c r="R25" s="48">
        <f t="shared" si="3"/>
        <v>839071.0599999999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6782.79+6345.19+6782.79+6563.99+6782.79+4771.81+184.98+184.98+179.02+184.98</f>
        <v>38763.32000000001</v>
      </c>
      <c r="P26" s="7">
        <f>7651.48+6782.79+6345.19+6782.79+6563.99+6782.79+4771.81+184.98+184.98+179.02</f>
        <v>46229.82</v>
      </c>
      <c r="Q26" s="6">
        <f t="shared" si="2"/>
        <v>184.9800000000032</v>
      </c>
      <c r="R26" s="48">
        <f t="shared" si="3"/>
        <v>2184184.98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16068.36+12598.02+11532.07+8820.12+6520.92+3758.36</f>
        <v>59297.85</v>
      </c>
      <c r="P27" s="7">
        <f>12495.55+16068.36+12598.02+11532.07+8820.12+6520.92+3758.36</f>
        <v>71793.40000000001</v>
      </c>
      <c r="Q27" s="6">
        <f t="shared" si="2"/>
        <v>0</v>
      </c>
      <c r="R27" s="48">
        <f t="shared" si="3"/>
        <v>1650000.0000000002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29871.58+24494.76+24036.92+20664.76+18475.76+12413.95</f>
        <v>129957.72999999998</v>
      </c>
      <c r="P28" s="7">
        <f>23356.16+29871.58+24494.76+24036.92+20664.76+18475.76+12413.95</f>
        <v>153313.89</v>
      </c>
      <c r="Q28" s="6">
        <f t="shared" si="2"/>
        <v>0</v>
      </c>
      <c r="R28" s="48">
        <f t="shared" si="3"/>
        <v>5450000.000000001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30371.7+26418.27+26999.14+24627.2+23415.78+17112.65+4695.74+4695.74+4457.53+4471.68</f>
        <v>167265.42999999996</v>
      </c>
      <c r="P29" s="7">
        <f>23356.16+30371.7+26418.27+26999.14+24627.2+23415.78+17112.65+4695.74+4695.74+4457.53</f>
        <v>186149.90999999997</v>
      </c>
      <c r="Q29" s="6">
        <f t="shared" si="2"/>
        <v>4471.679999999993</v>
      </c>
      <c r="R29" s="48">
        <f t="shared" si="3"/>
        <v>7111471.68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21233.1+18388.6+18738.94+17024.41+16361.7+12978.59+6913.17+6913.17+6562.48+6583.31</f>
        <v>131697.47</v>
      </c>
      <c r="P30" s="7">
        <f>16349.32+21233.1+18388.6+18738.94+17024.41+16361.7+12978.59+6913.17+6913.17+6562.48</f>
        <v>141463.48</v>
      </c>
      <c r="Q30" s="6">
        <f t="shared" si="2"/>
        <v>6583.309999999998</v>
      </c>
      <c r="R30" s="48">
        <f t="shared" si="3"/>
        <v>5061583.31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18634.05+17431.85+18634.05+18032.95+18634.05+17568.38+17786.89+17786.89+16884.59+16938.2</f>
        <v>178331.9</v>
      </c>
      <c r="P31" s="94">
        <f>14013.7+18634.05+17431.85+18634.05+18032.95+18634.05+17568.38+17786.89+17786.89+16884.59</f>
        <v>175407.4</v>
      </c>
      <c r="Q31" s="6">
        <f t="shared" si="2"/>
        <v>16938.20000000001</v>
      </c>
      <c r="R31" s="48">
        <f t="shared" si="3"/>
        <v>6016938.2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31056.75+29053.09+31056.75+30054.92+31056.75+29280.63+29644.81+29644.81+28140.98+28230.33</f>
        <v>297219.82</v>
      </c>
      <c r="P32" s="135">
        <f>23356.16+31056.75+29053.09+31056.75+30054.92+31056.75+29280.63+29644.81+29644.81+28140.98</f>
        <v>292345.64999999997</v>
      </c>
      <c r="Q32" s="6">
        <f t="shared" si="2"/>
        <v>28230.330000000016</v>
      </c>
      <c r="R32" s="48">
        <f t="shared" si="3"/>
        <v>10028230.33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31056.75+29053.09+31056.75+30054.92+31056.75+29280.63+29644.81+29644.81+28140.98+28230.33</f>
        <v>297219.82</v>
      </c>
      <c r="P33" s="94">
        <f>23356.16+31056.75+29053.09+31056.75+30054.92+31056.75+29280.63+29644.81+29644.81+28140.98</f>
        <v>292345.64999999997</v>
      </c>
      <c r="Q33" s="6">
        <f t="shared" si="2"/>
        <v>28230.330000000016</v>
      </c>
      <c r="R33" s="48">
        <f t="shared" si="3"/>
        <v>10028230.33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f>6893.68</f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20186.89+18884.51+20186.89+19535.7+20186.89+19032.41+19269.13+19269.13+18291.63+18349.71</f>
        <v>193192.88999999998</v>
      </c>
      <c r="P35" s="140">
        <f>15181.51+20186.89+18884.51+20186.89+19535.7+20186.89+19032.41+19269.13+19269.13+18291.63</f>
        <v>190024.69</v>
      </c>
      <c r="Q35" s="32">
        <f t="shared" si="2"/>
        <v>18349.709999999992</v>
      </c>
      <c r="R35" s="32">
        <f t="shared" si="3"/>
        <v>6518349.709999999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38510.37+36025.83+38510.37+37268.1+38510.37+36307.98+36759.56+36759.56+34894.82+35005.61</f>
        <v>368552.57</v>
      </c>
      <c r="P36" s="140">
        <f>7473.97+38510.37+36025.83+38510.37+37268.1+38510.37+36307.98+36759.56+36759.56+13167.22+21727.6</f>
        <v>341020.93</v>
      </c>
      <c r="Q36" s="32">
        <f t="shared" si="2"/>
        <v>35005.609999999986</v>
      </c>
      <c r="R36" s="32">
        <f t="shared" si="3"/>
        <v>12435005.610000001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104</v>
      </c>
      <c r="D37" s="52" t="s">
        <v>34</v>
      </c>
      <c r="E37" s="44">
        <v>24800</v>
      </c>
      <c r="F37" s="45" t="s">
        <v>105</v>
      </c>
      <c r="G37" s="46" t="s">
        <v>28</v>
      </c>
      <c r="H37" s="137"/>
      <c r="I37" s="137">
        <v>24800000</v>
      </c>
      <c r="J37" s="138"/>
      <c r="K37" s="153">
        <f>H37+I37-J37</f>
        <v>24800000</v>
      </c>
      <c r="L37" s="153">
        <f>K37</f>
        <v>24800000</v>
      </c>
      <c r="M37" s="139"/>
      <c r="N37" s="139"/>
      <c r="O37" s="154">
        <f>54546.45+69789.63+70011.21</f>
        <v>194347.29</v>
      </c>
      <c r="P37" s="140">
        <f>54546.45+69789.63</f>
        <v>124336.08</v>
      </c>
      <c r="Q37" s="32">
        <f>N37+O37-P37</f>
        <v>70011.21</v>
      </c>
      <c r="R37" s="32">
        <f>K37+N37+O37-P37</f>
        <v>24870011.21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.75" customHeight="1" thickBot="1">
      <c r="A38" s="95" t="s">
        <v>21</v>
      </c>
      <c r="B38" s="18"/>
      <c r="C38" s="18"/>
      <c r="D38" s="96"/>
      <c r="E38" s="97"/>
      <c r="F38" s="98"/>
      <c r="G38" s="98"/>
      <c r="H38" s="136">
        <f aca="true" t="shared" si="4" ref="H38:S38">H23+H24+H25+H26+H27+H28+H29+H30+H31+H32+H33+H34+H35+H36+H37</f>
        <v>80273000</v>
      </c>
      <c r="I38" s="136">
        <f t="shared" si="4"/>
        <v>24800000</v>
      </c>
      <c r="J38" s="136">
        <f t="shared" si="4"/>
        <v>13088000</v>
      </c>
      <c r="K38" s="136">
        <f t="shared" si="4"/>
        <v>91985000</v>
      </c>
      <c r="L38" s="136">
        <f t="shared" si="4"/>
        <v>91985000</v>
      </c>
      <c r="M38" s="136">
        <f t="shared" si="4"/>
        <v>0</v>
      </c>
      <c r="N38" s="136">
        <f t="shared" si="4"/>
        <v>176423.22</v>
      </c>
      <c r="O38" s="136">
        <f t="shared" si="4"/>
        <v>2070737.31</v>
      </c>
      <c r="P38" s="136">
        <f t="shared" si="4"/>
        <v>2039084.1099999999</v>
      </c>
      <c r="Q38" s="136">
        <f t="shared" si="4"/>
        <v>208076.42000000004</v>
      </c>
      <c r="R38" s="136">
        <f t="shared" si="4"/>
        <v>92193076.41999999</v>
      </c>
      <c r="S38" s="136">
        <f t="shared" si="4"/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19" ht="16.5" customHeight="1" thickBot="1">
      <c r="A39" s="141" t="s">
        <v>19</v>
      </c>
      <c r="B39" s="142" t="s">
        <v>23</v>
      </c>
      <c r="C39" s="142"/>
      <c r="D39" s="142"/>
      <c r="E39" s="142"/>
      <c r="F39" s="142"/>
      <c r="G39" s="20"/>
      <c r="H39" s="10"/>
      <c r="I39" s="10"/>
      <c r="J39" s="10"/>
      <c r="K39" s="10"/>
      <c r="L39" s="99"/>
      <c r="M39" s="10"/>
      <c r="N39" s="10"/>
      <c r="O39" s="10"/>
      <c r="P39" s="146"/>
      <c r="Q39" s="10"/>
      <c r="R39" s="147"/>
      <c r="S39" s="25"/>
    </row>
    <row r="40" spans="1:19" ht="69" customHeight="1">
      <c r="A40" s="144">
        <v>1</v>
      </c>
      <c r="B40" s="42" t="s">
        <v>23</v>
      </c>
      <c r="C40" s="145" t="s">
        <v>60</v>
      </c>
      <c r="D40" s="132" t="s">
        <v>61</v>
      </c>
      <c r="E40" s="17">
        <v>9000000</v>
      </c>
      <c r="F40" s="132" t="s">
        <v>68</v>
      </c>
      <c r="G40" s="133" t="s">
        <v>28</v>
      </c>
      <c r="H40" s="3">
        <v>9000000</v>
      </c>
      <c r="I40" s="156"/>
      <c r="J40" s="3"/>
      <c r="K40" s="6">
        <f>H40+I40-J40</f>
        <v>9000000</v>
      </c>
      <c r="L40" s="6">
        <f>K40</f>
        <v>9000000</v>
      </c>
      <c r="M40" s="3"/>
      <c r="N40" s="3">
        <v>0</v>
      </c>
      <c r="O40" s="3">
        <f>302459.01+144836.07+140163.93+144836.07+140163.93+136229.51+137213.11+132786.89+133893.44</f>
        <v>1412581.96</v>
      </c>
      <c r="P40" s="17">
        <f>156270.49+146188.52+144836.07+140163.93+144836.07+140163.93+136229.51+137213.11+132786.89+133893.44</f>
        <v>1412581.96</v>
      </c>
      <c r="Q40" s="6">
        <f>N40+O40-P40</f>
        <v>0</v>
      </c>
      <c r="R40" s="6">
        <f>K40+N40+O40-P40</f>
        <v>9000000</v>
      </c>
      <c r="S40" s="25"/>
    </row>
    <row r="41" spans="1:19" ht="69" customHeight="1">
      <c r="A41" s="152">
        <v>2</v>
      </c>
      <c r="B41" s="42" t="s">
        <v>23</v>
      </c>
      <c r="C41" s="145" t="s">
        <v>66</v>
      </c>
      <c r="D41" s="132" t="s">
        <v>61</v>
      </c>
      <c r="E41" s="17">
        <v>5000000</v>
      </c>
      <c r="F41" s="132" t="s">
        <v>67</v>
      </c>
      <c r="G41" s="133" t="s">
        <v>28</v>
      </c>
      <c r="H41" s="3">
        <v>5000000</v>
      </c>
      <c r="I41" s="156"/>
      <c r="J41" s="3"/>
      <c r="K41" s="6">
        <f>H41+I41-J41</f>
        <v>5000000</v>
      </c>
      <c r="L41" s="6">
        <f>K41</f>
        <v>5000000</v>
      </c>
      <c r="M41" s="3"/>
      <c r="N41" s="3">
        <v>0</v>
      </c>
      <c r="O41" s="17">
        <f>134426.23+69453.55+67213.11+69453.55+67213.11+69453.55+69453.55+67213.11+69453.55</f>
        <v>683333.31</v>
      </c>
      <c r="P41" s="17">
        <f>69453.55+64972.68+69453.55+67213.11+69453.55+67213.11+69453.55+69453.55+67213.11+69453.55</f>
        <v>683333.31</v>
      </c>
      <c r="Q41" s="6">
        <f>N41+O41-P41</f>
        <v>0</v>
      </c>
      <c r="R41" s="6">
        <f>K41+N41+O41-P41</f>
        <v>5000000</v>
      </c>
      <c r="S41" s="25"/>
    </row>
    <row r="42" spans="1:19" ht="69" customHeight="1">
      <c r="A42" s="152">
        <v>2</v>
      </c>
      <c r="B42" s="42" t="s">
        <v>23</v>
      </c>
      <c r="C42" s="145" t="s">
        <v>84</v>
      </c>
      <c r="D42" s="132" t="s">
        <v>61</v>
      </c>
      <c r="E42" s="17"/>
      <c r="F42" s="132" t="s">
        <v>122</v>
      </c>
      <c r="G42" s="133" t="s">
        <v>28</v>
      </c>
      <c r="H42" s="3"/>
      <c r="I42" s="156">
        <v>10000000</v>
      </c>
      <c r="J42" s="3"/>
      <c r="K42" s="6">
        <f>H42+I42-J42</f>
        <v>10000000</v>
      </c>
      <c r="L42" s="6">
        <f>K42</f>
        <v>10000000</v>
      </c>
      <c r="M42" s="3"/>
      <c r="N42" s="3">
        <v>0</v>
      </c>
      <c r="O42" s="3">
        <f>110420.77+155592.9+150573.77+152054.65+152459.02+147540.98+144297.83+4472.66</f>
        <v>1017412.58</v>
      </c>
      <c r="P42" s="17">
        <f>110420.77+155592.9+150573.77+152054.65+152459.02+147540.98+144297.83+4472.66</f>
        <v>1017412.58</v>
      </c>
      <c r="Q42" s="6">
        <f>N42+O42-P42</f>
        <v>0</v>
      </c>
      <c r="R42" s="6">
        <f>K42+N42+O42-P42</f>
        <v>10000000</v>
      </c>
      <c r="S42" s="25"/>
    </row>
    <row r="43" spans="1:19" ht="16.5" customHeight="1" thickBot="1">
      <c r="A43" s="95" t="s">
        <v>21</v>
      </c>
      <c r="B43" s="143"/>
      <c r="C43" s="143"/>
      <c r="D43" s="14"/>
      <c r="E43" s="14"/>
      <c r="F43" s="14"/>
      <c r="G43" s="14"/>
      <c r="H43" s="1">
        <f>H40+H41+H42</f>
        <v>14000000</v>
      </c>
      <c r="I43" s="1">
        <f aca="true" t="shared" si="5" ref="I43:S43">I40+I41+I42</f>
        <v>10000000</v>
      </c>
      <c r="J43" s="1">
        <f t="shared" si="5"/>
        <v>0</v>
      </c>
      <c r="K43" s="1">
        <f t="shared" si="5"/>
        <v>24000000</v>
      </c>
      <c r="L43" s="1">
        <f t="shared" si="5"/>
        <v>24000000</v>
      </c>
      <c r="M43" s="1">
        <f t="shared" si="5"/>
        <v>0</v>
      </c>
      <c r="N43" s="1">
        <f t="shared" si="5"/>
        <v>0</v>
      </c>
      <c r="O43" s="1">
        <f t="shared" si="5"/>
        <v>3113327.85</v>
      </c>
      <c r="P43" s="1">
        <f t="shared" si="5"/>
        <v>3113327.85</v>
      </c>
      <c r="Q43" s="1">
        <f t="shared" si="5"/>
        <v>0</v>
      </c>
      <c r="R43" s="1">
        <f t="shared" si="5"/>
        <v>24000000</v>
      </c>
      <c r="S43" s="1">
        <f t="shared" si="5"/>
        <v>0</v>
      </c>
    </row>
    <row r="44" spans="1:35" s="83" customFormat="1" ht="18" customHeight="1" thickBot="1">
      <c r="A44" s="101" t="s">
        <v>5</v>
      </c>
      <c r="B44" s="102" t="s">
        <v>22</v>
      </c>
      <c r="C44" s="102"/>
      <c r="D44" s="148"/>
      <c r="E44" s="148"/>
      <c r="F44" s="148"/>
      <c r="G44" s="148"/>
      <c r="H44" s="148"/>
      <c r="I44" s="143"/>
      <c r="J44" s="143"/>
      <c r="K44" s="143"/>
      <c r="L44" s="143"/>
      <c r="M44" s="143"/>
      <c r="N44" s="143"/>
      <c r="O44" s="143"/>
      <c r="P44" s="151"/>
      <c r="Q44" s="143"/>
      <c r="R44" s="149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83" customFormat="1" ht="69.75" customHeight="1" hidden="1">
      <c r="A45" s="101"/>
      <c r="B45" s="103"/>
      <c r="C45" s="104"/>
      <c r="D45" s="104"/>
      <c r="E45" s="105"/>
      <c r="F45" s="104"/>
      <c r="G45" s="46"/>
      <c r="H45" s="62"/>
      <c r="I45" s="62"/>
      <c r="J45" s="33"/>
      <c r="K45" s="62"/>
      <c r="L45" s="32"/>
      <c r="M45" s="21"/>
      <c r="N45" s="21"/>
      <c r="O45" s="21"/>
      <c r="P45" s="150"/>
      <c r="Q45" s="62"/>
      <c r="R45" s="62"/>
      <c r="S45" s="82"/>
      <c r="T45" s="106"/>
      <c r="U45" s="106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35" s="83" customFormat="1" ht="18" customHeight="1" thickBot="1">
      <c r="A46" s="107" t="s">
        <v>21</v>
      </c>
      <c r="B46" s="108"/>
      <c r="C46" s="109"/>
      <c r="D46" s="109"/>
      <c r="E46" s="110"/>
      <c r="F46" s="111"/>
      <c r="G46" s="104"/>
      <c r="H46" s="34">
        <f>H45</f>
        <v>0</v>
      </c>
      <c r="I46" s="34">
        <f>I45</f>
        <v>0</v>
      </c>
      <c r="J46" s="34">
        <f>J45</f>
        <v>0</v>
      </c>
      <c r="K46" s="34">
        <f>K45</f>
        <v>0</v>
      </c>
      <c r="L46" s="34">
        <f>L45</f>
        <v>0</v>
      </c>
      <c r="M46" s="22">
        <v>3</v>
      </c>
      <c r="N46" s="22">
        <v>0</v>
      </c>
      <c r="O46" s="22">
        <v>0</v>
      </c>
      <c r="P46" s="22">
        <v>0</v>
      </c>
      <c r="Q46" s="34">
        <f>K46</f>
        <v>0</v>
      </c>
      <c r="R46" s="34">
        <f>Q46</f>
        <v>0</v>
      </c>
      <c r="S46" s="82"/>
      <c r="T46" s="11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20" ht="16.5" customHeight="1" thickBot="1">
      <c r="A47" s="113"/>
      <c r="B47" s="20" t="s">
        <v>16</v>
      </c>
      <c r="C47" s="19"/>
      <c r="D47" s="19"/>
      <c r="E47" s="19"/>
      <c r="F47" s="100"/>
      <c r="G47" s="114"/>
      <c r="H47" s="23">
        <f>H38+H45+H43</f>
        <v>94273000</v>
      </c>
      <c r="I47" s="23">
        <f aca="true" t="shared" si="6" ref="I47:R47">I38+I45+I43</f>
        <v>34800000</v>
      </c>
      <c r="J47" s="23">
        <f t="shared" si="6"/>
        <v>13088000</v>
      </c>
      <c r="K47" s="23">
        <f>K38+K45+K43</f>
        <v>115985000</v>
      </c>
      <c r="L47" s="23">
        <f t="shared" si="6"/>
        <v>115985000</v>
      </c>
      <c r="M47" s="23">
        <f t="shared" si="6"/>
        <v>0</v>
      </c>
      <c r="N47" s="23">
        <f t="shared" si="6"/>
        <v>176423.22</v>
      </c>
      <c r="O47" s="23">
        <f t="shared" si="6"/>
        <v>5184065.16</v>
      </c>
      <c r="P47" s="23">
        <f t="shared" si="6"/>
        <v>5152411.96</v>
      </c>
      <c r="Q47" s="23">
        <f t="shared" si="6"/>
        <v>208076.42000000004</v>
      </c>
      <c r="R47" s="23">
        <f t="shared" si="6"/>
        <v>116193076.41999999</v>
      </c>
      <c r="S47" s="25"/>
      <c r="T47" s="115"/>
    </row>
    <row r="48" spans="1:19" ht="16.5" customHeight="1">
      <c r="A48" s="25"/>
      <c r="B48" s="82"/>
      <c r="C48" s="10"/>
      <c r="D48" s="10"/>
      <c r="E48" s="10"/>
      <c r="F48" s="10"/>
      <c r="G48" s="10"/>
      <c r="H48" s="24"/>
      <c r="I48" s="24"/>
      <c r="J48" s="24"/>
      <c r="K48" s="24"/>
      <c r="L48" s="24"/>
      <c r="M48" s="40"/>
      <c r="N48" s="24"/>
      <c r="O48" s="24"/>
      <c r="P48" s="24"/>
      <c r="Q48" s="24"/>
      <c r="R48" s="24"/>
      <c r="S48" s="25"/>
    </row>
    <row r="49" spans="1:19" ht="16.5" customHeight="1">
      <c r="A49" s="25"/>
      <c r="B49" s="10" t="s">
        <v>38</v>
      </c>
      <c r="C49" s="10"/>
      <c r="D49" s="10"/>
      <c r="E49" s="10"/>
      <c r="F49" s="10"/>
      <c r="G49" s="10"/>
      <c r="H49" s="24" t="s">
        <v>47</v>
      </c>
      <c r="I49" s="24"/>
      <c r="J49" s="24"/>
      <c r="K49" s="24"/>
      <c r="L49" s="24"/>
      <c r="M49" s="40"/>
      <c r="N49" s="24"/>
      <c r="O49" s="24"/>
      <c r="P49" s="40"/>
      <c r="Q49" s="24"/>
      <c r="R49" s="24"/>
      <c r="S49" s="25"/>
    </row>
    <row r="50" spans="1:19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4"/>
      <c r="Q50" s="10"/>
      <c r="R50" s="10"/>
      <c r="S50" s="25"/>
    </row>
    <row r="51" spans="1:19" ht="15.75" customHeight="1">
      <c r="A51" s="25"/>
      <c r="B51" s="10" t="s">
        <v>27</v>
      </c>
      <c r="C51" s="10"/>
      <c r="D51" s="116"/>
      <c r="E51" s="117"/>
      <c r="F51" s="117"/>
      <c r="G51" s="117"/>
      <c r="H51" s="35" t="s">
        <v>74</v>
      </c>
      <c r="I51" s="35"/>
      <c r="J51" s="35"/>
      <c r="K51" s="35"/>
      <c r="L51" s="35"/>
      <c r="M51" s="10"/>
      <c r="N51" s="10"/>
      <c r="O51" s="10"/>
      <c r="P51" s="10"/>
      <c r="Q51" s="10"/>
      <c r="R51" s="10"/>
      <c r="S51" s="25"/>
    </row>
    <row r="52" spans="1:19" ht="15.75" customHeight="1">
      <c r="A52" s="25"/>
      <c r="B52" s="10" t="s">
        <v>26</v>
      </c>
      <c r="C52" s="10"/>
      <c r="D52" s="116"/>
      <c r="E52" s="117"/>
      <c r="F52" s="117"/>
      <c r="G52" s="117"/>
      <c r="H52" s="35"/>
      <c r="I52" s="35"/>
      <c r="J52" s="35"/>
      <c r="K52" s="118"/>
      <c r="L52" s="118"/>
      <c r="M52" s="10"/>
      <c r="N52" s="10"/>
      <c r="O52" s="10"/>
      <c r="P52" s="10"/>
      <c r="Q52" s="10"/>
      <c r="R52" s="10"/>
      <c r="S52" s="25"/>
    </row>
    <row r="53" spans="1:19" ht="12.75">
      <c r="A53" s="25"/>
      <c r="B53" s="10"/>
      <c r="C53" s="10"/>
      <c r="D53" s="39"/>
      <c r="E53" s="10"/>
      <c r="F53" s="10"/>
      <c r="G53" s="10"/>
      <c r="H53" s="36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0.75" customHeight="1">
      <c r="A54" s="25"/>
      <c r="B54" s="10"/>
      <c r="C54" s="10"/>
      <c r="D54" s="39"/>
      <c r="E54" s="10"/>
      <c r="F54" s="10"/>
      <c r="G54" s="10"/>
      <c r="H54" s="119"/>
      <c r="I54" s="36"/>
      <c r="J54" s="36"/>
      <c r="K54" s="36"/>
      <c r="L54" s="36"/>
      <c r="M54" s="10"/>
      <c r="N54" s="10"/>
      <c r="O54" s="10"/>
      <c r="P54" s="10"/>
      <c r="Q54" s="10"/>
      <c r="R54" s="10"/>
      <c r="S54" s="25"/>
    </row>
    <row r="55" spans="1:19" ht="14.25" customHeight="1" hidden="1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0"/>
      <c r="Q55" s="10"/>
      <c r="R55" s="10"/>
      <c r="S55" s="25"/>
    </row>
    <row r="56" spans="1:19" ht="13.5" customHeight="1" hidden="1">
      <c r="A56" s="25"/>
      <c r="B56" s="10"/>
      <c r="C56" s="10"/>
      <c r="D56" s="10"/>
      <c r="E56" s="10"/>
      <c r="F56" s="10"/>
      <c r="G56" s="10"/>
      <c r="H56" s="37"/>
      <c r="I56" s="37"/>
      <c r="J56" s="37"/>
      <c r="K56" s="37"/>
      <c r="L56" s="37"/>
      <c r="M56" s="10"/>
      <c r="N56" s="10"/>
      <c r="O56" s="10"/>
      <c r="P56" s="10"/>
      <c r="Q56" s="10"/>
      <c r="R56" s="10"/>
      <c r="S56" s="25"/>
    </row>
    <row r="57" spans="2:18" s="25" customFormat="1" ht="12.75" customHeight="1">
      <c r="B57" s="10" t="s">
        <v>14</v>
      </c>
      <c r="C57" s="39"/>
      <c r="D57" s="120"/>
      <c r="E57" s="121"/>
      <c r="F57" s="10"/>
      <c r="G57" s="10"/>
      <c r="H57" s="37"/>
      <c r="I57" s="37"/>
      <c r="J57" s="37"/>
      <c r="K57" s="37"/>
      <c r="L57" s="37"/>
      <c r="M57" s="10"/>
      <c r="N57" s="10"/>
      <c r="O57" s="10"/>
      <c r="P57" s="10"/>
      <c r="Q57" s="10"/>
      <c r="R57" s="10"/>
    </row>
    <row r="58" spans="1:18" s="25" customFormat="1" ht="9.75" customHeight="1">
      <c r="A58" s="122"/>
      <c r="B58" s="123" t="s">
        <v>20</v>
      </c>
      <c r="C58" s="10"/>
      <c r="D58" s="10"/>
      <c r="E58" s="124"/>
      <c r="F58" s="124"/>
      <c r="G58" s="125"/>
      <c r="H58" s="38"/>
      <c r="I58" s="38"/>
      <c r="J58" s="38"/>
      <c r="K58" s="38"/>
      <c r="L58" s="38"/>
      <c r="M58" s="10"/>
      <c r="N58" s="10"/>
      <c r="O58" s="10"/>
      <c r="P58" s="10"/>
      <c r="Q58" s="10"/>
      <c r="R58" s="10"/>
    </row>
    <row r="59" spans="2:18" s="25" customFormat="1" ht="12.75">
      <c r="B59" s="39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126"/>
      <c r="G63" s="126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1:18" s="25" customFormat="1" ht="18.75">
      <c r="A64" s="122"/>
      <c r="B64" s="122"/>
      <c r="C64" s="127"/>
      <c r="D64" s="127"/>
      <c r="E64" s="127"/>
      <c r="F64" s="127"/>
      <c r="G64" s="127"/>
      <c r="H64" s="39"/>
      <c r="I64" s="39"/>
      <c r="J64" s="39"/>
      <c r="K64" s="39"/>
      <c r="L64" s="39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1:18" s="25" customFormat="1" ht="18.75">
      <c r="A68" s="128"/>
      <c r="B68" s="10"/>
      <c r="C68" s="10"/>
      <c r="D68" s="10"/>
      <c r="E68" s="125"/>
      <c r="F68" s="125"/>
      <c r="G68" s="125"/>
      <c r="H68" s="38"/>
      <c r="I68" s="38"/>
      <c r="J68" s="38"/>
      <c r="K68" s="38"/>
      <c r="L68" s="38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117"/>
      <c r="F70" s="129"/>
      <c r="G70" s="129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1:18" s="25" customFormat="1" ht="18.75">
      <c r="A72" s="122"/>
      <c r="B72" s="122"/>
      <c r="C72" s="122"/>
      <c r="D72" s="122"/>
      <c r="E72" s="122"/>
      <c r="F72" s="122"/>
      <c r="G72" s="130"/>
      <c r="H72" s="131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17"/>
      <c r="G74" s="117"/>
      <c r="H74" s="35"/>
      <c r="I74" s="35"/>
      <c r="J74" s="35"/>
      <c r="K74" s="118"/>
      <c r="L74" s="118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39"/>
      <c r="E75" s="10"/>
      <c r="F75" s="10"/>
      <c r="G75" s="10"/>
      <c r="H75" s="36"/>
      <c r="I75" s="36"/>
      <c r="J75" s="36"/>
      <c r="K75" s="36"/>
      <c r="L75" s="36"/>
      <c r="M75" s="10"/>
      <c r="N75" s="10"/>
      <c r="O75" s="10"/>
      <c r="Q75" s="10"/>
      <c r="R75" s="10"/>
    </row>
    <row r="76" s="25" customFormat="1" ht="12.75">
      <c r="P76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2" fitToWidth="1"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6"/>
  <sheetViews>
    <sheetView zoomScalePageLayoutView="0" workbookViewId="0" topLeftCell="A37">
      <selection activeCell="H42" sqref="H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114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115</v>
      </c>
      <c r="J8" s="11" t="s">
        <v>116</v>
      </c>
      <c r="K8" s="11" t="s">
        <v>117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2605.66+2437.55+2605.66+2521.61+2605.66+1833.13+71.06+71.06+68.77+71.06+68.7</f>
        <v>14959.92</v>
      </c>
      <c r="P25" s="7">
        <f>2939.37+2605.66+2437.55+2605.66+2521.61+2605.66+1833.13+71.06+71.06+68.77+71.06</f>
        <v>17830.590000000004</v>
      </c>
      <c r="Q25" s="6">
        <f t="shared" si="2"/>
        <v>68.69999999999709</v>
      </c>
      <c r="R25" s="48">
        <f t="shared" si="3"/>
        <v>839068.7000000001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6782.79+6345.19+6782.79+6563.99+6782.79+4771.81+184.98+184.98+179.02+184.98+179.02</f>
        <v>38942.340000000004</v>
      </c>
      <c r="P26" s="7">
        <f>7651.48+6782.79+6345.19+6782.79+6563.99+6782.79+4771.81+184.98+184.98+179.02+184.98</f>
        <v>46414.8</v>
      </c>
      <c r="Q26" s="6">
        <f t="shared" si="2"/>
        <v>179.02000000000407</v>
      </c>
      <c r="R26" s="48">
        <f t="shared" si="3"/>
        <v>2184179.02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16068.36+12598.02+11532.07+8820.12+6520.92+3758.36</f>
        <v>59297.85</v>
      </c>
      <c r="P27" s="7">
        <f>12495.55+16068.36+12598.02+11532.07+8820.12+6520.92+3758.36</f>
        <v>71793.40000000001</v>
      </c>
      <c r="Q27" s="6">
        <f t="shared" si="2"/>
        <v>0</v>
      </c>
      <c r="R27" s="48">
        <f t="shared" si="3"/>
        <v>1650000.0000000002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29871.58+24494.76+24036.92+20664.76+18475.76+12413.95</f>
        <v>129957.72999999998</v>
      </c>
      <c r="P28" s="7">
        <f>23356.16+29871.58+24494.76+24036.92+20664.76+18475.76+12413.95</f>
        <v>153313.89</v>
      </c>
      <c r="Q28" s="6">
        <f t="shared" si="2"/>
        <v>0</v>
      </c>
      <c r="R28" s="48">
        <f t="shared" si="3"/>
        <v>5450000.000000001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30371.7+26418.27+26999.14+24627.2+23415.78+17112.65+4695.74+4695.74+4457.53+4471.68+4327.44</f>
        <v>171592.86999999997</v>
      </c>
      <c r="P29" s="7">
        <f>23356.16+30371.7+26418.27+26999.14+24627.2+23415.78+17112.65+4695.74+4695.74+4457.53+4471.68</f>
        <v>190621.58999999997</v>
      </c>
      <c r="Q29" s="6">
        <f t="shared" si="2"/>
        <v>4327.440000000002</v>
      </c>
      <c r="R29" s="48">
        <f t="shared" si="3"/>
        <v>7111327.44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21233.1+18388.6+18738.94+17024.41+16361.7+12978.59+6913.17+6913.17+6562.48+6583.31+6370.95</f>
        <v>138068.42</v>
      </c>
      <c r="P30" s="7">
        <f>16349.32+21233.1+18388.6+18738.94+17024.41+16361.7+12978.59+6913.17+6913.17+6562.48+6583.31</f>
        <v>148046.79</v>
      </c>
      <c r="Q30" s="6">
        <f t="shared" si="2"/>
        <v>6370.950000000012</v>
      </c>
      <c r="R30" s="48">
        <f t="shared" si="3"/>
        <v>5061370.95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18634.05+17431.85+18634.05+18032.95+18634.05+17568.38+17786.89+17786.89+16884.59+16938.2+16391.8</f>
        <v>194723.69999999998</v>
      </c>
      <c r="P31" s="94">
        <f>14013.7+18634.05+17431.85+18634.05+18032.95+18634.05+17568.38+17786.89+17786.89+16884.59+16938.2</f>
        <v>192345.6</v>
      </c>
      <c r="Q31" s="6">
        <f t="shared" si="2"/>
        <v>16391.79999999999</v>
      </c>
      <c r="R31" s="48">
        <f t="shared" si="3"/>
        <v>6016391.800000001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31056.75+29053.09+31056.75+30054.92+31056.75+29280.63+29644.81+29644.81+28140.98+28230.33+27319.67</f>
        <v>324539.49</v>
      </c>
      <c r="P32" s="135">
        <f>23356.16+31056.75+29053.09+31056.75+30054.92+31056.75+29280.63+29644.81+29644.81+28140.98+28230.33</f>
        <v>320575.98</v>
      </c>
      <c r="Q32" s="6">
        <f t="shared" si="2"/>
        <v>27319.669999999984</v>
      </c>
      <c r="R32" s="48">
        <f t="shared" si="3"/>
        <v>10027319.67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31056.75+29053.09+31056.75+30054.92+31056.75+29280.63+29644.81+29644.81+28140.98+28230.33+27319.67</f>
        <v>324539.49</v>
      </c>
      <c r="P33" s="94">
        <f>23356.16+31056.75+29053.09+31056.75+30054.92+31056.75+29280.63+29644.81+29644.81+28140.98+28230.33</f>
        <v>320575.98</v>
      </c>
      <c r="Q33" s="6">
        <f t="shared" si="2"/>
        <v>27319.669999999984</v>
      </c>
      <c r="R33" s="48">
        <f t="shared" si="3"/>
        <v>10027319.67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f>6893.68</f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20186.89+18884.51+20186.89+19535.7+20186.89+19032.41+19269.13+19269.13+18291.63+18349.71+17757.79</f>
        <v>210950.68</v>
      </c>
      <c r="P35" s="140">
        <f>15181.51+20186.89+18884.51+20186.89+19535.7+20186.89+19032.41+19269.13+19269.13+18291.63+18349.71</f>
        <v>208374.4</v>
      </c>
      <c r="Q35" s="32">
        <f t="shared" si="2"/>
        <v>17757.790000000008</v>
      </c>
      <c r="R35" s="32">
        <f t="shared" si="3"/>
        <v>6517757.789999999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38510.37+36025.83+38510.37+37268.1+38510.37+36307.98+36759.56+36759.56+34894.82+35005.61+33876.39</f>
        <v>402428.96</v>
      </c>
      <c r="P36" s="140">
        <f>7473.97+38510.37+36025.83+38510.37+37268.1+38510.37+36307.98+36759.56+36759.56+13167.22+21727.6+35005.61</f>
        <v>376026.54</v>
      </c>
      <c r="Q36" s="32">
        <f t="shared" si="2"/>
        <v>33876.390000000014</v>
      </c>
      <c r="R36" s="32">
        <f t="shared" si="3"/>
        <v>12433876.390000002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104</v>
      </c>
      <c r="D37" s="52" t="s">
        <v>34</v>
      </c>
      <c r="E37" s="44">
        <v>24800</v>
      </c>
      <c r="F37" s="45" t="s">
        <v>105</v>
      </c>
      <c r="G37" s="46" t="s">
        <v>28</v>
      </c>
      <c r="H37" s="137"/>
      <c r="I37" s="137">
        <v>24800000</v>
      </c>
      <c r="J37" s="138"/>
      <c r="K37" s="153">
        <f>H37+I37-J37</f>
        <v>24800000</v>
      </c>
      <c r="L37" s="153">
        <f>K37</f>
        <v>24800000</v>
      </c>
      <c r="M37" s="139"/>
      <c r="N37" s="139"/>
      <c r="O37" s="154">
        <f>54546.45+69789.63+70011.21+67752.79</f>
        <v>262100.08000000002</v>
      </c>
      <c r="P37" s="140">
        <f>54546.45+69789.63+70011.21</f>
        <v>194347.29</v>
      </c>
      <c r="Q37" s="32">
        <f>N37+O37-P37</f>
        <v>67752.79000000001</v>
      </c>
      <c r="R37" s="32">
        <f>K37+N37+O37-P37</f>
        <v>24867752.79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.75" customHeight="1" thickBot="1">
      <c r="A38" s="95" t="s">
        <v>21</v>
      </c>
      <c r="B38" s="18"/>
      <c r="C38" s="18"/>
      <c r="D38" s="96"/>
      <c r="E38" s="97"/>
      <c r="F38" s="98"/>
      <c r="G38" s="98"/>
      <c r="H38" s="136">
        <f aca="true" t="shared" si="4" ref="H38:S38">H23+H24+H25+H26+H27+H28+H29+H30+H31+H32+H33+H34+H35+H36+H37</f>
        <v>80273000</v>
      </c>
      <c r="I38" s="136">
        <f t="shared" si="4"/>
        <v>24800000</v>
      </c>
      <c r="J38" s="136">
        <f t="shared" si="4"/>
        <v>13088000</v>
      </c>
      <c r="K38" s="136">
        <f t="shared" si="4"/>
        <v>91985000</v>
      </c>
      <c r="L38" s="136">
        <f t="shared" si="4"/>
        <v>91985000</v>
      </c>
      <c r="M38" s="136">
        <f t="shared" si="4"/>
        <v>0</v>
      </c>
      <c r="N38" s="136">
        <f t="shared" si="4"/>
        <v>176423.22</v>
      </c>
      <c r="O38" s="136">
        <f t="shared" si="4"/>
        <v>2272101.53</v>
      </c>
      <c r="P38" s="136">
        <f t="shared" si="4"/>
        <v>2247160.53</v>
      </c>
      <c r="Q38" s="136">
        <f t="shared" si="4"/>
        <v>201364.22</v>
      </c>
      <c r="R38" s="136">
        <f t="shared" si="4"/>
        <v>92186364.22</v>
      </c>
      <c r="S38" s="136">
        <f t="shared" si="4"/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19" ht="16.5" customHeight="1" thickBot="1">
      <c r="A39" s="141" t="s">
        <v>19</v>
      </c>
      <c r="B39" s="142" t="s">
        <v>23</v>
      </c>
      <c r="C39" s="142"/>
      <c r="D39" s="142"/>
      <c r="E39" s="142"/>
      <c r="F39" s="142"/>
      <c r="G39" s="20"/>
      <c r="H39" s="10"/>
      <c r="I39" s="10"/>
      <c r="J39" s="10"/>
      <c r="K39" s="10"/>
      <c r="L39" s="99"/>
      <c r="M39" s="10"/>
      <c r="N39" s="10"/>
      <c r="O39" s="10"/>
      <c r="P39" s="146"/>
      <c r="Q39" s="10"/>
      <c r="R39" s="147"/>
      <c r="S39" s="25"/>
    </row>
    <row r="40" spans="1:19" ht="69" customHeight="1">
      <c r="A40" s="144">
        <v>1</v>
      </c>
      <c r="B40" s="42" t="s">
        <v>23</v>
      </c>
      <c r="C40" s="145" t="s">
        <v>60</v>
      </c>
      <c r="D40" s="132" t="s">
        <v>61</v>
      </c>
      <c r="E40" s="17">
        <v>9000000</v>
      </c>
      <c r="F40" s="132" t="s">
        <v>68</v>
      </c>
      <c r="G40" s="133" t="s">
        <v>28</v>
      </c>
      <c r="H40" s="3">
        <v>9000000</v>
      </c>
      <c r="I40" s="156"/>
      <c r="J40" s="3"/>
      <c r="K40" s="6">
        <f>H40+I40-J40</f>
        <v>9000000</v>
      </c>
      <c r="L40" s="6">
        <f>K40</f>
        <v>9000000</v>
      </c>
      <c r="M40" s="3"/>
      <c r="N40" s="3">
        <v>0</v>
      </c>
      <c r="O40" s="3">
        <f>302459.01+144836.07+140163.93+144836.07+140163.93+136229.51+137213.11+132786.89+133893.44+129098.36</f>
        <v>1541680.32</v>
      </c>
      <c r="P40" s="17">
        <f>156270.49+146188.52+144836.07+140163.93+144836.07+140163.93+136229.51+137213.11+132786.89+133893.44+129098.36</f>
        <v>1541680.32</v>
      </c>
      <c r="Q40" s="6">
        <f>N40+O40-P40</f>
        <v>0</v>
      </c>
      <c r="R40" s="6">
        <f>K40+N40+O40-P40</f>
        <v>9000000</v>
      </c>
      <c r="S40" s="25"/>
    </row>
    <row r="41" spans="1:19" ht="69" customHeight="1">
      <c r="A41" s="152">
        <v>2</v>
      </c>
      <c r="B41" s="42" t="s">
        <v>23</v>
      </c>
      <c r="C41" s="145" t="s">
        <v>66</v>
      </c>
      <c r="D41" s="132" t="s">
        <v>61</v>
      </c>
      <c r="E41" s="17">
        <v>5000000</v>
      </c>
      <c r="F41" s="132" t="s">
        <v>67</v>
      </c>
      <c r="G41" s="133" t="s">
        <v>28</v>
      </c>
      <c r="H41" s="3">
        <v>5000000</v>
      </c>
      <c r="I41" s="156"/>
      <c r="J41" s="3"/>
      <c r="K41" s="6">
        <f>H41+I41-J41</f>
        <v>5000000</v>
      </c>
      <c r="L41" s="6">
        <f>K41</f>
        <v>5000000</v>
      </c>
      <c r="M41" s="3"/>
      <c r="N41" s="3">
        <v>0</v>
      </c>
      <c r="O41" s="17">
        <f>134426.23+69453.55+67213.11+69453.55+67213.11+69453.55+69453.55+67213.11+69453.55+67213.11</f>
        <v>750546.42</v>
      </c>
      <c r="P41" s="17">
        <f>69453.55+64972.68+69453.55+67213.11+69453.55+67213.11+69453.55+69453.55+67213.11+69453.55+67213.11</f>
        <v>750546.42</v>
      </c>
      <c r="Q41" s="6">
        <f>N41+O41-P41</f>
        <v>0</v>
      </c>
      <c r="R41" s="6">
        <f>K41+N41+O41-P41</f>
        <v>5000000</v>
      </c>
      <c r="S41" s="25"/>
    </row>
    <row r="42" spans="1:19" ht="69" customHeight="1">
      <c r="A42" s="152">
        <v>2</v>
      </c>
      <c r="B42" s="42" t="s">
        <v>23</v>
      </c>
      <c r="C42" s="145" t="s">
        <v>84</v>
      </c>
      <c r="D42" s="132" t="s">
        <v>61</v>
      </c>
      <c r="E42" s="17"/>
      <c r="F42" s="132" t="s">
        <v>122</v>
      </c>
      <c r="G42" s="133" t="s">
        <v>28</v>
      </c>
      <c r="H42" s="3"/>
      <c r="I42" s="156">
        <v>10000000</v>
      </c>
      <c r="J42" s="3"/>
      <c r="K42" s="6">
        <f>H42+I42-J42</f>
        <v>10000000</v>
      </c>
      <c r="L42" s="6">
        <f>K42</f>
        <v>10000000</v>
      </c>
      <c r="M42" s="3"/>
      <c r="N42" s="3">
        <v>0</v>
      </c>
      <c r="O42" s="3">
        <f>110420.77+155592.9+150573.77+152054.65+152459.02+147540.98+144297.83+4472.66+143442.62</f>
        <v>1160855.2</v>
      </c>
      <c r="P42" s="17">
        <f>110420.77+155592.9+150573.77+152054.65+152459.02+147540.98+144297.83+4472.66+143442.62</f>
        <v>1160855.2</v>
      </c>
      <c r="Q42" s="6">
        <f>N42+O42-P42</f>
        <v>0</v>
      </c>
      <c r="R42" s="6">
        <f>K42+N42+O42-P42</f>
        <v>10000000</v>
      </c>
      <c r="S42" s="25"/>
    </row>
    <row r="43" spans="1:19" ht="16.5" customHeight="1" thickBot="1">
      <c r="A43" s="95" t="s">
        <v>21</v>
      </c>
      <c r="B43" s="143"/>
      <c r="C43" s="143"/>
      <c r="D43" s="14"/>
      <c r="E43" s="14"/>
      <c r="F43" s="14"/>
      <c r="G43" s="14"/>
      <c r="H43" s="1">
        <f>H40+H41+H42</f>
        <v>14000000</v>
      </c>
      <c r="I43" s="1">
        <f aca="true" t="shared" si="5" ref="I43:S43">I40+I41+I42</f>
        <v>10000000</v>
      </c>
      <c r="J43" s="1">
        <f t="shared" si="5"/>
        <v>0</v>
      </c>
      <c r="K43" s="1">
        <f t="shared" si="5"/>
        <v>24000000</v>
      </c>
      <c r="L43" s="1">
        <f t="shared" si="5"/>
        <v>24000000</v>
      </c>
      <c r="M43" s="1">
        <f t="shared" si="5"/>
        <v>0</v>
      </c>
      <c r="N43" s="1">
        <f t="shared" si="5"/>
        <v>0</v>
      </c>
      <c r="O43" s="1">
        <f t="shared" si="5"/>
        <v>3453081.9400000004</v>
      </c>
      <c r="P43" s="1">
        <f t="shared" si="5"/>
        <v>3453081.9400000004</v>
      </c>
      <c r="Q43" s="1">
        <f t="shared" si="5"/>
        <v>0</v>
      </c>
      <c r="R43" s="1">
        <f t="shared" si="5"/>
        <v>24000000</v>
      </c>
      <c r="S43" s="1">
        <f t="shared" si="5"/>
        <v>0</v>
      </c>
    </row>
    <row r="44" spans="1:35" s="83" customFormat="1" ht="18" customHeight="1" thickBot="1">
      <c r="A44" s="101" t="s">
        <v>5</v>
      </c>
      <c r="B44" s="102" t="s">
        <v>22</v>
      </c>
      <c r="C44" s="102"/>
      <c r="D44" s="148"/>
      <c r="E44" s="148"/>
      <c r="F44" s="148"/>
      <c r="G44" s="148"/>
      <c r="H44" s="148"/>
      <c r="I44" s="143"/>
      <c r="J44" s="143"/>
      <c r="K44" s="143"/>
      <c r="L44" s="143"/>
      <c r="M44" s="143"/>
      <c r="N44" s="143"/>
      <c r="O44" s="143"/>
      <c r="P44" s="151"/>
      <c r="Q44" s="143"/>
      <c r="R44" s="149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83" customFormat="1" ht="69.75" customHeight="1" hidden="1">
      <c r="A45" s="101"/>
      <c r="B45" s="103"/>
      <c r="C45" s="104"/>
      <c r="D45" s="104"/>
      <c r="E45" s="105"/>
      <c r="F45" s="104"/>
      <c r="G45" s="46"/>
      <c r="H45" s="62"/>
      <c r="I45" s="62"/>
      <c r="J45" s="33"/>
      <c r="K45" s="62"/>
      <c r="L45" s="32"/>
      <c r="M45" s="21"/>
      <c r="N45" s="21"/>
      <c r="O45" s="21"/>
      <c r="P45" s="150"/>
      <c r="Q45" s="62"/>
      <c r="R45" s="62"/>
      <c r="S45" s="82"/>
      <c r="T45" s="106"/>
      <c r="U45" s="106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35" s="83" customFormat="1" ht="18" customHeight="1" thickBot="1">
      <c r="A46" s="107" t="s">
        <v>21</v>
      </c>
      <c r="B46" s="108"/>
      <c r="C46" s="109"/>
      <c r="D46" s="109"/>
      <c r="E46" s="110"/>
      <c r="F46" s="111"/>
      <c r="G46" s="104"/>
      <c r="H46" s="34">
        <f>H45</f>
        <v>0</v>
      </c>
      <c r="I46" s="34">
        <f>I45</f>
        <v>0</v>
      </c>
      <c r="J46" s="34">
        <f>J45</f>
        <v>0</v>
      </c>
      <c r="K46" s="34">
        <f>K45</f>
        <v>0</v>
      </c>
      <c r="L46" s="34">
        <f>L45</f>
        <v>0</v>
      </c>
      <c r="M46" s="22">
        <v>3</v>
      </c>
      <c r="N46" s="22">
        <v>0</v>
      </c>
      <c r="O46" s="22">
        <v>0</v>
      </c>
      <c r="P46" s="22">
        <v>0</v>
      </c>
      <c r="Q46" s="34">
        <f>K46</f>
        <v>0</v>
      </c>
      <c r="R46" s="34">
        <f>Q46</f>
        <v>0</v>
      </c>
      <c r="S46" s="82"/>
      <c r="T46" s="11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20" ht="16.5" customHeight="1" thickBot="1">
      <c r="A47" s="113"/>
      <c r="B47" s="20" t="s">
        <v>16</v>
      </c>
      <c r="C47" s="19"/>
      <c r="D47" s="19"/>
      <c r="E47" s="19"/>
      <c r="F47" s="100"/>
      <c r="G47" s="114"/>
      <c r="H47" s="23">
        <f>H38+H45+H43</f>
        <v>94273000</v>
      </c>
      <c r="I47" s="23">
        <f aca="true" t="shared" si="6" ref="I47:R47">I38+I45+I43</f>
        <v>34800000</v>
      </c>
      <c r="J47" s="23">
        <f t="shared" si="6"/>
        <v>13088000</v>
      </c>
      <c r="K47" s="23">
        <f>K38+K45+K43</f>
        <v>115985000</v>
      </c>
      <c r="L47" s="23">
        <f t="shared" si="6"/>
        <v>115985000</v>
      </c>
      <c r="M47" s="23">
        <f t="shared" si="6"/>
        <v>0</v>
      </c>
      <c r="N47" s="23">
        <f t="shared" si="6"/>
        <v>176423.22</v>
      </c>
      <c r="O47" s="23">
        <f t="shared" si="6"/>
        <v>5725183.470000001</v>
      </c>
      <c r="P47" s="23">
        <f t="shared" si="6"/>
        <v>5700242.470000001</v>
      </c>
      <c r="Q47" s="23">
        <f t="shared" si="6"/>
        <v>201364.22</v>
      </c>
      <c r="R47" s="23">
        <f t="shared" si="6"/>
        <v>116186364.22</v>
      </c>
      <c r="S47" s="25"/>
      <c r="T47" s="115"/>
    </row>
    <row r="48" spans="1:19" ht="16.5" customHeight="1">
      <c r="A48" s="25"/>
      <c r="B48" s="82"/>
      <c r="C48" s="10"/>
      <c r="D48" s="10"/>
      <c r="E48" s="10"/>
      <c r="F48" s="10"/>
      <c r="G48" s="10"/>
      <c r="H48" s="24"/>
      <c r="I48" s="24"/>
      <c r="J48" s="24"/>
      <c r="K48" s="24"/>
      <c r="L48" s="24"/>
      <c r="M48" s="40"/>
      <c r="N48" s="24"/>
      <c r="O48" s="24"/>
      <c r="P48" s="24"/>
      <c r="Q48" s="24"/>
      <c r="R48" s="24"/>
      <c r="S48" s="25"/>
    </row>
    <row r="49" spans="1:19" ht="16.5" customHeight="1">
      <c r="A49" s="25"/>
      <c r="B49" s="10" t="s">
        <v>38</v>
      </c>
      <c r="C49" s="10"/>
      <c r="D49" s="10"/>
      <c r="E49" s="10"/>
      <c r="F49" s="10"/>
      <c r="G49" s="10"/>
      <c r="H49" s="24" t="s">
        <v>47</v>
      </c>
      <c r="I49" s="24"/>
      <c r="J49" s="24"/>
      <c r="K49" s="24"/>
      <c r="L49" s="24"/>
      <c r="M49" s="40"/>
      <c r="N49" s="24"/>
      <c r="O49" s="24"/>
      <c r="P49" s="40"/>
      <c r="Q49" s="24"/>
      <c r="R49" s="24"/>
      <c r="S49" s="25"/>
    </row>
    <row r="50" spans="1:19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24"/>
      <c r="Q50" s="10"/>
      <c r="R50" s="10"/>
      <c r="S50" s="25"/>
    </row>
    <row r="51" spans="1:19" ht="15.75" customHeight="1">
      <c r="A51" s="25"/>
      <c r="B51" s="10" t="s">
        <v>27</v>
      </c>
      <c r="C51" s="10"/>
      <c r="D51" s="116"/>
      <c r="E51" s="117"/>
      <c r="F51" s="117"/>
      <c r="G51" s="117"/>
      <c r="H51" s="35" t="s">
        <v>74</v>
      </c>
      <c r="I51" s="35"/>
      <c r="J51" s="35"/>
      <c r="K51" s="35"/>
      <c r="L51" s="35"/>
      <c r="M51" s="10"/>
      <c r="N51" s="10"/>
      <c r="O51" s="10"/>
      <c r="P51" s="10"/>
      <c r="Q51" s="10"/>
      <c r="R51" s="10"/>
      <c r="S51" s="25"/>
    </row>
    <row r="52" spans="1:19" ht="15.75" customHeight="1">
      <c r="A52" s="25"/>
      <c r="B52" s="10" t="s">
        <v>26</v>
      </c>
      <c r="C52" s="10"/>
      <c r="D52" s="116"/>
      <c r="E52" s="117"/>
      <c r="F52" s="117"/>
      <c r="G52" s="117"/>
      <c r="H52" s="35"/>
      <c r="I52" s="35"/>
      <c r="J52" s="35"/>
      <c r="K52" s="118"/>
      <c r="L52" s="118"/>
      <c r="M52" s="10"/>
      <c r="N52" s="10"/>
      <c r="O52" s="10"/>
      <c r="P52" s="10"/>
      <c r="Q52" s="10"/>
      <c r="R52" s="10"/>
      <c r="S52" s="25"/>
    </row>
    <row r="53" spans="1:19" ht="12.75">
      <c r="A53" s="25"/>
      <c r="B53" s="10"/>
      <c r="C53" s="10"/>
      <c r="D53" s="39"/>
      <c r="E53" s="10"/>
      <c r="F53" s="10"/>
      <c r="G53" s="10"/>
      <c r="H53" s="36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0.75" customHeight="1">
      <c r="A54" s="25"/>
      <c r="B54" s="10"/>
      <c r="C54" s="10"/>
      <c r="D54" s="39"/>
      <c r="E54" s="10"/>
      <c r="F54" s="10"/>
      <c r="G54" s="10"/>
      <c r="H54" s="119"/>
      <c r="I54" s="36"/>
      <c r="J54" s="36"/>
      <c r="K54" s="36"/>
      <c r="L54" s="36"/>
      <c r="M54" s="10"/>
      <c r="N54" s="10"/>
      <c r="O54" s="10"/>
      <c r="P54" s="10"/>
      <c r="Q54" s="10"/>
      <c r="R54" s="10"/>
      <c r="S54" s="25"/>
    </row>
    <row r="55" spans="1:19" ht="14.25" customHeight="1" hidden="1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0"/>
      <c r="Q55" s="10"/>
      <c r="R55" s="10"/>
      <c r="S55" s="25"/>
    </row>
    <row r="56" spans="1:19" ht="13.5" customHeight="1" hidden="1">
      <c r="A56" s="25"/>
      <c r="B56" s="10"/>
      <c r="C56" s="10"/>
      <c r="D56" s="10"/>
      <c r="E56" s="10"/>
      <c r="F56" s="10"/>
      <c r="G56" s="10"/>
      <c r="H56" s="37"/>
      <c r="I56" s="37"/>
      <c r="J56" s="37"/>
      <c r="K56" s="37"/>
      <c r="L56" s="37"/>
      <c r="M56" s="10"/>
      <c r="N56" s="10"/>
      <c r="O56" s="10"/>
      <c r="P56" s="10"/>
      <c r="Q56" s="10"/>
      <c r="R56" s="10"/>
      <c r="S56" s="25"/>
    </row>
    <row r="57" spans="2:18" s="25" customFormat="1" ht="12.75" customHeight="1">
      <c r="B57" s="10" t="s">
        <v>14</v>
      </c>
      <c r="C57" s="39"/>
      <c r="D57" s="120"/>
      <c r="E57" s="121"/>
      <c r="F57" s="10"/>
      <c r="G57" s="10"/>
      <c r="H57" s="37"/>
      <c r="I57" s="37"/>
      <c r="J57" s="37"/>
      <c r="K57" s="37"/>
      <c r="L57" s="37"/>
      <c r="M57" s="10"/>
      <c r="N57" s="10"/>
      <c r="O57" s="10"/>
      <c r="P57" s="10"/>
      <c r="Q57" s="10"/>
      <c r="R57" s="10"/>
    </row>
    <row r="58" spans="1:18" s="25" customFormat="1" ht="9.75" customHeight="1">
      <c r="A58" s="122"/>
      <c r="B58" s="123" t="s">
        <v>20</v>
      </c>
      <c r="C58" s="10"/>
      <c r="D58" s="10"/>
      <c r="E58" s="124"/>
      <c r="F58" s="124"/>
      <c r="G58" s="125"/>
      <c r="H58" s="38"/>
      <c r="I58" s="38"/>
      <c r="J58" s="38"/>
      <c r="K58" s="38"/>
      <c r="L58" s="38"/>
      <c r="M58" s="10"/>
      <c r="N58" s="10"/>
      <c r="O58" s="10"/>
      <c r="P58" s="10"/>
      <c r="Q58" s="10"/>
      <c r="R58" s="10"/>
    </row>
    <row r="59" spans="2:18" s="25" customFormat="1" ht="12.75">
      <c r="B59" s="39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126"/>
      <c r="G63" s="126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1:18" s="25" customFormat="1" ht="18.75">
      <c r="A64" s="122"/>
      <c r="B64" s="122"/>
      <c r="C64" s="127"/>
      <c r="D64" s="127"/>
      <c r="E64" s="127"/>
      <c r="F64" s="127"/>
      <c r="G64" s="127"/>
      <c r="H64" s="39"/>
      <c r="I64" s="39"/>
      <c r="J64" s="39"/>
      <c r="K64" s="39"/>
      <c r="L64" s="39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1:18" s="25" customFormat="1" ht="18.75">
      <c r="A68" s="128"/>
      <c r="B68" s="10"/>
      <c r="C68" s="10"/>
      <c r="D68" s="10"/>
      <c r="E68" s="125"/>
      <c r="F68" s="125"/>
      <c r="G68" s="125"/>
      <c r="H68" s="38"/>
      <c r="I68" s="38"/>
      <c r="J68" s="38"/>
      <c r="K68" s="38"/>
      <c r="L68" s="38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117"/>
      <c r="F70" s="129"/>
      <c r="G70" s="129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1:18" s="25" customFormat="1" ht="18.75">
      <c r="A72" s="122"/>
      <c r="B72" s="122"/>
      <c r="C72" s="122"/>
      <c r="D72" s="122"/>
      <c r="E72" s="122"/>
      <c r="F72" s="122"/>
      <c r="G72" s="130"/>
      <c r="H72" s="131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116"/>
      <c r="E74" s="117"/>
      <c r="F74" s="117"/>
      <c r="G74" s="117"/>
      <c r="H74" s="35"/>
      <c r="I74" s="35"/>
      <c r="J74" s="35"/>
      <c r="K74" s="118"/>
      <c r="L74" s="118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39"/>
      <c r="E75" s="10"/>
      <c r="F75" s="10"/>
      <c r="G75" s="10"/>
      <c r="H75" s="36"/>
      <c r="I75" s="36"/>
      <c r="J75" s="36"/>
      <c r="K75" s="36"/>
      <c r="L75" s="36"/>
      <c r="M75" s="10"/>
      <c r="N75" s="10"/>
      <c r="O75" s="10"/>
      <c r="Q75" s="10"/>
      <c r="R75" s="10"/>
    </row>
    <row r="76" s="25" customFormat="1" ht="12.75">
      <c r="P76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2" fitToWidth="1"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8"/>
  <sheetViews>
    <sheetView zoomScalePageLayoutView="0" workbookViewId="0" topLeftCell="A7">
      <pane ySplit="3135" topLeftCell="A43" activePane="bottomLeft" state="split"/>
      <selection pane="topLeft" activeCell="O41" sqref="O41"/>
      <selection pane="bottomLeft" activeCell="I44" sqref="I4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118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115</v>
      </c>
      <c r="J8" s="11" t="s">
        <v>116</v>
      </c>
      <c r="K8" s="11" t="s">
        <v>117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2605.66+2437.55+2605.66+2521.61+2605.66+1833.13+71.06+71.06+68.77+71.06+68.77+71.06</f>
        <v>15031.05</v>
      </c>
      <c r="P25" s="7">
        <f>2939.37+2605.66+2437.55+2605.66+2521.61+2605.66+1833.13+71.06+71.06+68.77+71.06+68.77</f>
        <v>17899.360000000004</v>
      </c>
      <c r="Q25" s="6">
        <f t="shared" si="2"/>
        <v>71.05999999999403</v>
      </c>
      <c r="R25" s="48">
        <f t="shared" si="3"/>
        <v>839071.06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6782.79+6345.19+6782.79+6563.99+6782.79+4771.81+184.98+184.98+179.02+184.98+179.02+184.98</f>
        <v>39127.32000000001</v>
      </c>
      <c r="P26" s="7">
        <f>7651.48+6782.79+6345.19+6782.79+6563.99+6782.79+4771.81+184.98+184.98+179.02+184.98+179.02</f>
        <v>46593.82</v>
      </c>
      <c r="Q26" s="6">
        <f t="shared" si="2"/>
        <v>184.9800000000032</v>
      </c>
      <c r="R26" s="48">
        <f t="shared" si="3"/>
        <v>2184184.98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16068.36+12598.02+11532.07+8820.12+6520.92+3758.36+829.5</f>
        <v>60127.35</v>
      </c>
      <c r="P27" s="7">
        <f>12495.55+16068.36+12598.02+11532.07+8820.12+6520.92+3758.36+829.5</f>
        <v>72622.90000000001</v>
      </c>
      <c r="Q27" s="6">
        <f t="shared" si="2"/>
        <v>0</v>
      </c>
      <c r="R27" s="48">
        <f t="shared" si="3"/>
        <v>1650000.0000000002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29871.58+24494.76+24036.92+20664.76+18475.76+12413.95+2739.88</f>
        <v>132697.61</v>
      </c>
      <c r="P28" s="7">
        <f>23356.16+29871.58+24494.76+24036.92+20664.76+18475.76+12413.95+2739.88</f>
        <v>156053.77000000002</v>
      </c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30371.7+26418.27+26999.14+24627.2+23415.78+17112.65+4695.74+4695.74+4457.53+4471.68+4327.44+2882.23+4471.68</f>
        <v>178946.77999999997</v>
      </c>
      <c r="P29" s="7">
        <f>23356.16+30371.7+26418.27+26999.14+24627.2+23415.78+17112.65+4695.74+4695.74+4457.53+4471.68+2882.23+4327.44</f>
        <v>197831.25999999998</v>
      </c>
      <c r="Q29" s="6">
        <f t="shared" si="2"/>
        <v>4471.679999999993</v>
      </c>
      <c r="R29" s="48">
        <f t="shared" si="3"/>
        <v>7111471.680000001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21233.1+18388.6+18738.94+17024.41+16361.7+12978.59+6913.17+6913.17+6562.48+6583.31+6370.95+1421.04+6583.31</f>
        <v>146072.77000000002</v>
      </c>
      <c r="P30" s="7">
        <f>16349.32+21233.1+18388.6+18738.94+17024.41+16361.7+12978.59+6913.17+6913.17+6562.48+6583.31+1421.04+6370.95</f>
        <v>155838.78000000003</v>
      </c>
      <c r="Q30" s="6">
        <f t="shared" si="2"/>
        <v>6583.309999999998</v>
      </c>
      <c r="R30" s="48">
        <f t="shared" si="3"/>
        <v>5061583.31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18634.05+17431.85+18634.05+18032.95+18634.05+17568.38+17786.89+17786.89+16884.59+16938.2+16391.8+16938.2</f>
        <v>211661.9</v>
      </c>
      <c r="P31" s="94">
        <f>14013.7+18634.05+17431.85+18634.05+18032.95+18634.05+17568.38+17786.89+17786.89+16884.59+16938.2+16391.8</f>
        <v>208737.4</v>
      </c>
      <c r="Q31" s="6">
        <f t="shared" si="2"/>
        <v>16938.20000000001</v>
      </c>
      <c r="R31" s="48">
        <f t="shared" si="3"/>
        <v>6016938.2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31056.75+29053.09+31056.75+30054.92+31056.75+29280.63+29644.81+29644.81+28140.98+28230.33+27319.67+28230.33</f>
        <v>352769.82</v>
      </c>
      <c r="P32" s="135">
        <f>23356.16+31056.75+29053.09+31056.75+30054.92+31056.75+29280.63+29644.81+29644.81+28140.98+28230.33+27319.67</f>
        <v>347895.64999999997</v>
      </c>
      <c r="Q32" s="6">
        <f t="shared" si="2"/>
        <v>28230.330000000016</v>
      </c>
      <c r="R32" s="48">
        <f t="shared" si="3"/>
        <v>10028230.33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31056.75+29053.09+31056.75+30054.92+31056.75+29280.63+29644.81+29644.81+28140.98+28230.33+27319.67+28230.33</f>
        <v>352769.82</v>
      </c>
      <c r="P33" s="94">
        <f>23356.16+31056.75+29053.09+31056.75+30054.92+31056.75+29280.63+29644.81+29644.81+28140.98+28230.33+27319.67</f>
        <v>347895.64999999997</v>
      </c>
      <c r="Q33" s="6">
        <f t="shared" si="2"/>
        <v>28230.330000000016</v>
      </c>
      <c r="R33" s="48">
        <f t="shared" si="3"/>
        <v>10028230.33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f>6893.68</f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20186.89+18884.51+20186.89+19535.7+20186.89+19032.41+19269.13+19269.13+18291.63+18349.71+17757.79+18349.71</f>
        <v>229300.38999999998</v>
      </c>
      <c r="P35" s="140">
        <f>15181.51+20186.89+18884.51+20186.89+19535.7+20186.89+19032.41+19269.13+19269.13+18291.63+18349.71+17757.79</f>
        <v>226132.19</v>
      </c>
      <c r="Q35" s="32">
        <f t="shared" si="2"/>
        <v>18349.709999999992</v>
      </c>
      <c r="R35" s="32">
        <f t="shared" si="3"/>
        <v>6518349.709999999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12400000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38510.37+36025.83+38510.37+37268.1+38510.37+36307.98+36759.56+36759.56+34894.82+35005.61+33876.39+35005.61</f>
        <v>437434.57</v>
      </c>
      <c r="P36" s="140">
        <f>7473.97+38510.37+36025.83+38510.37+37268.1+38510.37+36307.98+36759.56+36759.56+13167.22+21727.6+35005.61+33876.39</f>
        <v>409902.93</v>
      </c>
      <c r="Q36" s="32">
        <f t="shared" si="2"/>
        <v>35005.609999999986</v>
      </c>
      <c r="R36" s="32">
        <f t="shared" si="3"/>
        <v>12435005.610000001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104</v>
      </c>
      <c r="D37" s="52" t="s">
        <v>34</v>
      </c>
      <c r="E37" s="44">
        <v>24800000</v>
      </c>
      <c r="F37" s="45" t="s">
        <v>105</v>
      </c>
      <c r="G37" s="46" t="s">
        <v>28</v>
      </c>
      <c r="H37" s="137"/>
      <c r="I37" s="137">
        <v>24800000</v>
      </c>
      <c r="J37" s="138"/>
      <c r="K37" s="153">
        <f>H37+I37-J37</f>
        <v>24800000</v>
      </c>
      <c r="L37" s="153">
        <f>K37</f>
        <v>24800000</v>
      </c>
      <c r="M37" s="139"/>
      <c r="N37" s="139"/>
      <c r="O37" s="154">
        <f>54546.45+69789.63+70011.21+67752.79+70011.21</f>
        <v>332111.29000000004</v>
      </c>
      <c r="P37" s="140">
        <f>54546.45+69789.63+70011.21+67752.79</f>
        <v>262100.08000000002</v>
      </c>
      <c r="Q37" s="32">
        <f>N37+O37-P37</f>
        <v>70011.21000000002</v>
      </c>
      <c r="R37" s="32">
        <f>K37+N37+O37-P37</f>
        <v>24870011.21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66.75" customHeight="1">
      <c r="A38" s="50"/>
      <c r="B38" s="183"/>
      <c r="C38" s="52" t="s">
        <v>119</v>
      </c>
      <c r="D38" s="52" t="s">
        <v>34</v>
      </c>
      <c r="E38" s="44">
        <v>16000000</v>
      </c>
      <c r="F38" s="45" t="s">
        <v>121</v>
      </c>
      <c r="G38" s="46" t="s">
        <v>28</v>
      </c>
      <c r="H38" s="137"/>
      <c r="I38" s="137">
        <v>16000000</v>
      </c>
      <c r="J38" s="138"/>
      <c r="K38" s="153">
        <f>H38+I38-J38</f>
        <v>16000000</v>
      </c>
      <c r="L38" s="153">
        <f>K38</f>
        <v>16000000</v>
      </c>
      <c r="M38" s="139"/>
      <c r="N38" s="139"/>
      <c r="O38" s="154">
        <v>8742.3</v>
      </c>
      <c r="P38" s="140"/>
      <c r="Q38" s="32">
        <f>N38+O38-P38</f>
        <v>8742.3</v>
      </c>
      <c r="R38" s="32">
        <f>K38+N38+O38-P38</f>
        <v>16008742.3</v>
      </c>
      <c r="S38" s="49"/>
      <c r="T38" s="49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35" ht="15.75" customHeight="1" thickBot="1">
      <c r="A39" s="95" t="s">
        <v>21</v>
      </c>
      <c r="B39" s="18"/>
      <c r="C39" s="18"/>
      <c r="D39" s="96"/>
      <c r="E39" s="97"/>
      <c r="F39" s="98"/>
      <c r="G39" s="98"/>
      <c r="H39" s="136">
        <f>H23+H24+H25+H26+H27+H28+H29+H30+H31+H32+H33+H34+H35+H36+H37+H38</f>
        <v>80273000</v>
      </c>
      <c r="I39" s="136">
        <f aca="true" t="shared" si="4" ref="I39:S39">I23+I24+I25+I26+I27+I28+I29+I30+I31+I32+I33+I34+I35+I36+I37+I38</f>
        <v>40800000</v>
      </c>
      <c r="J39" s="136">
        <f t="shared" si="4"/>
        <v>13088000</v>
      </c>
      <c r="K39" s="136">
        <f t="shared" si="4"/>
        <v>107985000</v>
      </c>
      <c r="L39" s="136">
        <f t="shared" si="4"/>
        <v>107985000</v>
      </c>
      <c r="M39" s="136">
        <f t="shared" si="4"/>
        <v>0</v>
      </c>
      <c r="N39" s="136">
        <f t="shared" si="4"/>
        <v>176423.22</v>
      </c>
      <c r="O39" s="136">
        <f t="shared" si="4"/>
        <v>2496792.9699999997</v>
      </c>
      <c r="P39" s="136">
        <f t="shared" si="4"/>
        <v>2456397.4699999997</v>
      </c>
      <c r="Q39" s="136">
        <f t="shared" si="4"/>
        <v>216818.72000000003</v>
      </c>
      <c r="R39" s="136">
        <f t="shared" si="4"/>
        <v>108201818.71999998</v>
      </c>
      <c r="S39" s="136">
        <f t="shared" si="4"/>
        <v>0</v>
      </c>
      <c r="T39" s="25"/>
      <c r="U39" s="25"/>
      <c r="V39" s="25"/>
      <c r="W39" s="25"/>
      <c r="X39" s="25"/>
      <c r="Y39" s="25"/>
      <c r="Z39" s="25"/>
      <c r="AA39" s="25"/>
      <c r="AB39" s="25"/>
      <c r="AC39" s="25"/>
      <c r="AD39" s="25"/>
      <c r="AE39" s="25"/>
      <c r="AF39" s="25"/>
      <c r="AG39" s="25"/>
      <c r="AH39" s="25"/>
      <c r="AI39" s="25"/>
    </row>
    <row r="40" spans="1:19" ht="16.5" customHeight="1" thickBot="1">
      <c r="A40" s="141" t="s">
        <v>19</v>
      </c>
      <c r="B40" s="142" t="s">
        <v>23</v>
      </c>
      <c r="C40" s="142"/>
      <c r="D40" s="142"/>
      <c r="E40" s="142"/>
      <c r="F40" s="142"/>
      <c r="G40" s="20"/>
      <c r="H40" s="10"/>
      <c r="I40" s="10"/>
      <c r="J40" s="10"/>
      <c r="K40" s="10"/>
      <c r="L40" s="99"/>
      <c r="M40" s="10"/>
      <c r="N40" s="10"/>
      <c r="O40" s="10"/>
      <c r="P40" s="146"/>
      <c r="Q40" s="10"/>
      <c r="R40" s="147"/>
      <c r="S40" s="25"/>
    </row>
    <row r="41" spans="1:19" ht="69" customHeight="1">
      <c r="A41" s="144">
        <v>1</v>
      </c>
      <c r="B41" s="42" t="s">
        <v>23</v>
      </c>
      <c r="C41" s="145" t="s">
        <v>60</v>
      </c>
      <c r="D41" s="132" t="s">
        <v>61</v>
      </c>
      <c r="E41" s="17">
        <v>9000000</v>
      </c>
      <c r="F41" s="132" t="s">
        <v>68</v>
      </c>
      <c r="G41" s="133" t="s">
        <v>28</v>
      </c>
      <c r="H41" s="3">
        <v>9000000</v>
      </c>
      <c r="I41" s="156"/>
      <c r="J41" s="3"/>
      <c r="K41" s="6">
        <f>H41+I41-J41</f>
        <v>9000000</v>
      </c>
      <c r="L41" s="6">
        <f>K41</f>
        <v>9000000</v>
      </c>
      <c r="M41" s="3"/>
      <c r="N41" s="3">
        <v>0</v>
      </c>
      <c r="O41" s="3">
        <f>302459.01+144836.07+140163.93+144836.07+140163.93+136229.51+137213.11+132786.89+133893.44+129098.36+133401.64</f>
        <v>1675081.96</v>
      </c>
      <c r="P41" s="17">
        <f>156270.49+146188.52+144836.07+140163.93+144836.07+140163.93+136229.51+137213.11+132786.89+133893.44+129098.36+133401.64</f>
        <v>1675081.96</v>
      </c>
      <c r="Q41" s="6">
        <f>N41+O41-P41</f>
        <v>0</v>
      </c>
      <c r="R41" s="6">
        <f>K41+N41+O41-P41</f>
        <v>9000000</v>
      </c>
      <c r="S41" s="25"/>
    </row>
    <row r="42" spans="1:19" ht="69" customHeight="1">
      <c r="A42" s="152">
        <v>2</v>
      </c>
      <c r="B42" s="42" t="s">
        <v>23</v>
      </c>
      <c r="C42" s="145" t="s">
        <v>66</v>
      </c>
      <c r="D42" s="132" t="s">
        <v>61</v>
      </c>
      <c r="E42" s="17">
        <v>5000000</v>
      </c>
      <c r="F42" s="132" t="s">
        <v>67</v>
      </c>
      <c r="G42" s="133" t="s">
        <v>28</v>
      </c>
      <c r="H42" s="3">
        <v>5000000</v>
      </c>
      <c r="I42" s="156"/>
      <c r="J42" s="3">
        <v>5000000</v>
      </c>
      <c r="K42" s="6">
        <f>H42+I42-J42</f>
        <v>0</v>
      </c>
      <c r="L42" s="6">
        <f>K42</f>
        <v>0</v>
      </c>
      <c r="M42" s="3"/>
      <c r="N42" s="3">
        <v>0</v>
      </c>
      <c r="O42" s="17">
        <f>134426.23+69453.55+67213.11+69453.55+67213.11+69453.55+69453.55+67213.11+69453.55+67213.11+33606.56-13442.63</f>
        <v>770710.35</v>
      </c>
      <c r="P42" s="17">
        <f>69453.55+64972.68+69453.55+67213.11+69453.55+67213.11+69453.55+69453.55+67213.11+69453.55+67213.11+33606.56-13442.63</f>
        <v>770710.35</v>
      </c>
      <c r="Q42" s="6">
        <f>N42+O42-P42</f>
        <v>0</v>
      </c>
      <c r="R42" s="6">
        <f>K42+N42+O42-P42</f>
        <v>0</v>
      </c>
      <c r="S42" s="25"/>
    </row>
    <row r="43" spans="1:19" ht="69" customHeight="1">
      <c r="A43" s="152">
        <v>3</v>
      </c>
      <c r="B43" s="42" t="s">
        <v>23</v>
      </c>
      <c r="C43" s="145" t="s">
        <v>84</v>
      </c>
      <c r="D43" s="132" t="s">
        <v>61</v>
      </c>
      <c r="E43" s="17"/>
      <c r="F43" s="132" t="s">
        <v>122</v>
      </c>
      <c r="G43" s="133" t="s">
        <v>28</v>
      </c>
      <c r="H43" s="3"/>
      <c r="I43" s="156">
        <v>10000000</v>
      </c>
      <c r="J43" s="3"/>
      <c r="K43" s="6">
        <f>H43+I43-J43</f>
        <v>10000000</v>
      </c>
      <c r="L43" s="6">
        <f>K43</f>
        <v>10000000</v>
      </c>
      <c r="M43" s="3"/>
      <c r="N43" s="3">
        <v>0</v>
      </c>
      <c r="O43" s="3">
        <f>110420.77+155592.9+150573.77+152054.65+152459.02+147540.98+144297.83+4472.66+143442.62+148224.04</f>
        <v>1309079.24</v>
      </c>
      <c r="P43" s="17">
        <f>110420.77+155592.9+150573.77+152054.65+152459.02+147540.98+144297.83+4472.66+143442.62+148224.04</f>
        <v>1309079.24</v>
      </c>
      <c r="Q43" s="6">
        <f>N43+O43-P43</f>
        <v>0</v>
      </c>
      <c r="R43" s="6">
        <f>K43+N43+O43-P43</f>
        <v>10000000</v>
      </c>
      <c r="S43" s="25"/>
    </row>
    <row r="44" spans="1:19" ht="69" customHeight="1">
      <c r="A44" s="152">
        <v>4</v>
      </c>
      <c r="B44" s="42" t="s">
        <v>23</v>
      </c>
      <c r="C44" s="145" t="s">
        <v>120</v>
      </c>
      <c r="D44" s="132" t="s">
        <v>61</v>
      </c>
      <c r="E44" s="17"/>
      <c r="F44" s="184">
        <v>43439</v>
      </c>
      <c r="G44" s="133"/>
      <c r="H44" s="3"/>
      <c r="I44" s="156">
        <v>8000000</v>
      </c>
      <c r="J44" s="3"/>
      <c r="K44" s="6">
        <f>H44+I44-J44</f>
        <v>8000000</v>
      </c>
      <c r="L44" s="6">
        <f>K44</f>
        <v>8000000</v>
      </c>
      <c r="M44" s="3"/>
      <c r="N44" s="3"/>
      <c r="O44" s="3">
        <v>81311.48</v>
      </c>
      <c r="P44" s="17">
        <v>81311.48</v>
      </c>
      <c r="Q44" s="6">
        <f>N44+O44-P44</f>
        <v>0</v>
      </c>
      <c r="R44" s="6">
        <f>K44+N44+O44-P44</f>
        <v>8000000</v>
      </c>
      <c r="S44" s="25"/>
    </row>
    <row r="45" spans="1:19" ht="16.5" customHeight="1" thickBot="1">
      <c r="A45" s="95" t="s">
        <v>21</v>
      </c>
      <c r="B45" s="143"/>
      <c r="C45" s="143"/>
      <c r="D45" s="14"/>
      <c r="E45" s="14"/>
      <c r="F45" s="14"/>
      <c r="G45" s="14"/>
      <c r="H45" s="1">
        <f>H41+H42+H43+H44</f>
        <v>14000000</v>
      </c>
      <c r="I45" s="1">
        <f aca="true" t="shared" si="5" ref="I45:R45">I41+I42+I43+I44</f>
        <v>18000000</v>
      </c>
      <c r="J45" s="1">
        <f t="shared" si="5"/>
        <v>5000000</v>
      </c>
      <c r="K45" s="1">
        <f t="shared" si="5"/>
        <v>27000000</v>
      </c>
      <c r="L45" s="1">
        <f t="shared" si="5"/>
        <v>27000000</v>
      </c>
      <c r="M45" s="1">
        <f t="shared" si="5"/>
        <v>0</v>
      </c>
      <c r="N45" s="1">
        <f t="shared" si="5"/>
        <v>0</v>
      </c>
      <c r="O45" s="1">
        <f t="shared" si="5"/>
        <v>3836183.03</v>
      </c>
      <c r="P45" s="1">
        <f t="shared" si="5"/>
        <v>3836183.03</v>
      </c>
      <c r="Q45" s="1">
        <f t="shared" si="5"/>
        <v>0</v>
      </c>
      <c r="R45" s="1">
        <f t="shared" si="5"/>
        <v>27000000</v>
      </c>
      <c r="S45" s="1">
        <f>S41+S42+S43</f>
        <v>0</v>
      </c>
    </row>
    <row r="46" spans="1:35" s="83" customFormat="1" ht="18" customHeight="1" thickBot="1">
      <c r="A46" s="101" t="s">
        <v>5</v>
      </c>
      <c r="B46" s="102" t="s">
        <v>22</v>
      </c>
      <c r="C46" s="102"/>
      <c r="D46" s="148"/>
      <c r="E46" s="148"/>
      <c r="F46" s="148"/>
      <c r="G46" s="148"/>
      <c r="H46" s="148"/>
      <c r="I46" s="143"/>
      <c r="J46" s="143"/>
      <c r="K46" s="143"/>
      <c r="L46" s="143"/>
      <c r="M46" s="143"/>
      <c r="N46" s="143"/>
      <c r="O46" s="143"/>
      <c r="P46" s="151"/>
      <c r="Q46" s="143"/>
      <c r="R46" s="149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35" s="83" customFormat="1" ht="69.75" customHeight="1" hidden="1">
      <c r="A47" s="101"/>
      <c r="B47" s="103"/>
      <c r="C47" s="104"/>
      <c r="D47" s="104"/>
      <c r="E47" s="105"/>
      <c r="F47" s="104"/>
      <c r="G47" s="46"/>
      <c r="H47" s="62"/>
      <c r="I47" s="62"/>
      <c r="J47" s="33"/>
      <c r="K47" s="62"/>
      <c r="L47" s="32"/>
      <c r="M47" s="21"/>
      <c r="N47" s="21"/>
      <c r="O47" s="21"/>
      <c r="P47" s="150"/>
      <c r="Q47" s="62"/>
      <c r="R47" s="62"/>
      <c r="S47" s="82"/>
      <c r="T47" s="106"/>
      <c r="U47" s="106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</row>
    <row r="48" spans="1:35" s="83" customFormat="1" ht="18" customHeight="1" thickBot="1">
      <c r="A48" s="107" t="s">
        <v>21</v>
      </c>
      <c r="B48" s="108"/>
      <c r="C48" s="109"/>
      <c r="D48" s="109"/>
      <c r="E48" s="110"/>
      <c r="F48" s="111"/>
      <c r="G48" s="104"/>
      <c r="H48" s="34">
        <f>H47</f>
        <v>0</v>
      </c>
      <c r="I48" s="34">
        <f>I47</f>
        <v>0</v>
      </c>
      <c r="J48" s="34">
        <f>J47</f>
        <v>0</v>
      </c>
      <c r="K48" s="34">
        <f>K47</f>
        <v>0</v>
      </c>
      <c r="L48" s="34">
        <f>L47</f>
        <v>0</v>
      </c>
      <c r="M48" s="22">
        <v>3</v>
      </c>
      <c r="N48" s="22">
        <v>0</v>
      </c>
      <c r="O48" s="22">
        <v>0</v>
      </c>
      <c r="P48" s="22">
        <v>0</v>
      </c>
      <c r="Q48" s="34">
        <f>K48</f>
        <v>0</v>
      </c>
      <c r="R48" s="34">
        <f>Q48</f>
        <v>0</v>
      </c>
      <c r="S48" s="82"/>
      <c r="T48" s="11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</row>
    <row r="49" spans="1:20" ht="16.5" customHeight="1" thickBot="1">
      <c r="A49" s="113"/>
      <c r="B49" s="20" t="s">
        <v>16</v>
      </c>
      <c r="C49" s="19"/>
      <c r="D49" s="19"/>
      <c r="E49" s="19"/>
      <c r="F49" s="100"/>
      <c r="G49" s="114"/>
      <c r="H49" s="23">
        <f>H39+H47+H45</f>
        <v>94273000</v>
      </c>
      <c r="I49" s="23">
        <f aca="true" t="shared" si="6" ref="I49:R49">I39+I47+I45</f>
        <v>58800000</v>
      </c>
      <c r="J49" s="23">
        <f t="shared" si="6"/>
        <v>18088000</v>
      </c>
      <c r="K49" s="23">
        <f>K39+K47+K45</f>
        <v>134985000</v>
      </c>
      <c r="L49" s="23">
        <f t="shared" si="6"/>
        <v>134985000</v>
      </c>
      <c r="M49" s="23">
        <f t="shared" si="6"/>
        <v>0</v>
      </c>
      <c r="N49" s="23">
        <f t="shared" si="6"/>
        <v>176423.22</v>
      </c>
      <c r="O49" s="23">
        <f t="shared" si="6"/>
        <v>6332976</v>
      </c>
      <c r="P49" s="23">
        <f t="shared" si="6"/>
        <v>6292580.5</v>
      </c>
      <c r="Q49" s="23">
        <f t="shared" si="6"/>
        <v>216818.72000000003</v>
      </c>
      <c r="R49" s="23">
        <f t="shared" si="6"/>
        <v>135201818.71999997</v>
      </c>
      <c r="S49" s="25"/>
      <c r="T49" s="115"/>
    </row>
    <row r="50" spans="1:19" ht="16.5" customHeight="1">
      <c r="A50" s="25"/>
      <c r="B50" s="82"/>
      <c r="C50" s="10"/>
      <c r="D50" s="10"/>
      <c r="E50" s="10"/>
      <c r="F50" s="10"/>
      <c r="G50" s="10"/>
      <c r="H50" s="24"/>
      <c r="I50" s="24"/>
      <c r="J50" s="24"/>
      <c r="K50" s="24"/>
      <c r="L50" s="24"/>
      <c r="M50" s="40"/>
      <c r="N50" s="24"/>
      <c r="O50" s="24"/>
      <c r="P50" s="24"/>
      <c r="Q50" s="24"/>
      <c r="R50" s="24"/>
      <c r="S50" s="25"/>
    </row>
    <row r="51" spans="1:19" ht="16.5" customHeight="1">
      <c r="A51" s="25"/>
      <c r="B51" s="10" t="s">
        <v>38</v>
      </c>
      <c r="C51" s="10"/>
      <c r="D51" s="10"/>
      <c r="E51" s="10"/>
      <c r="F51" s="10"/>
      <c r="G51" s="10"/>
      <c r="H51" s="24" t="s">
        <v>47</v>
      </c>
      <c r="I51" s="24"/>
      <c r="J51" s="24"/>
      <c r="K51" s="24"/>
      <c r="L51" s="24"/>
      <c r="M51" s="40"/>
      <c r="N51" s="24"/>
      <c r="O51" s="24"/>
      <c r="P51" s="40"/>
      <c r="Q51" s="24"/>
      <c r="R51" s="24"/>
      <c r="S51" s="25"/>
    </row>
    <row r="52" spans="1:19" ht="16.5" customHeight="1">
      <c r="A52" s="25"/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24"/>
      <c r="Q52" s="10"/>
      <c r="R52" s="10"/>
      <c r="S52" s="25"/>
    </row>
    <row r="53" spans="1:19" ht="15.75" customHeight="1">
      <c r="A53" s="25"/>
      <c r="B53" s="10" t="s">
        <v>27</v>
      </c>
      <c r="C53" s="10"/>
      <c r="D53" s="116"/>
      <c r="E53" s="117"/>
      <c r="F53" s="117"/>
      <c r="G53" s="117"/>
      <c r="H53" s="35" t="s">
        <v>74</v>
      </c>
      <c r="I53" s="35"/>
      <c r="J53" s="35"/>
      <c r="K53" s="35"/>
      <c r="L53" s="35"/>
      <c r="M53" s="10"/>
      <c r="N53" s="10"/>
      <c r="O53" s="10"/>
      <c r="P53" s="10"/>
      <c r="Q53" s="10"/>
      <c r="R53" s="10"/>
      <c r="S53" s="25"/>
    </row>
    <row r="54" spans="1:19" ht="15.75" customHeight="1">
      <c r="A54" s="25"/>
      <c r="B54" s="10" t="s">
        <v>26</v>
      </c>
      <c r="C54" s="10"/>
      <c r="D54" s="116"/>
      <c r="E54" s="117"/>
      <c r="F54" s="117"/>
      <c r="G54" s="117"/>
      <c r="H54" s="35"/>
      <c r="I54" s="35"/>
      <c r="J54" s="35"/>
      <c r="K54" s="118"/>
      <c r="L54" s="118"/>
      <c r="M54" s="10"/>
      <c r="N54" s="10"/>
      <c r="O54" s="10"/>
      <c r="P54" s="10"/>
      <c r="Q54" s="10"/>
      <c r="R54" s="10"/>
      <c r="S54" s="25"/>
    </row>
    <row r="55" spans="1:19" ht="12.75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0"/>
      <c r="Q55" s="10"/>
      <c r="R55" s="10"/>
      <c r="S55" s="25"/>
    </row>
    <row r="56" spans="1:19" ht="0.75" customHeight="1">
      <c r="A56" s="25"/>
      <c r="B56" s="10"/>
      <c r="C56" s="10"/>
      <c r="D56" s="39"/>
      <c r="E56" s="10"/>
      <c r="F56" s="10"/>
      <c r="G56" s="10"/>
      <c r="H56" s="119"/>
      <c r="I56" s="36"/>
      <c r="J56" s="36"/>
      <c r="K56" s="36"/>
      <c r="L56" s="36"/>
      <c r="M56" s="10"/>
      <c r="N56" s="10"/>
      <c r="O56" s="10"/>
      <c r="P56" s="10"/>
      <c r="Q56" s="10"/>
      <c r="R56" s="10"/>
      <c r="S56" s="25"/>
    </row>
    <row r="57" spans="1:19" ht="14.25" customHeight="1" hidden="1">
      <c r="A57" s="25"/>
      <c r="B57" s="10"/>
      <c r="C57" s="10"/>
      <c r="D57" s="39"/>
      <c r="E57" s="10"/>
      <c r="F57" s="10"/>
      <c r="G57" s="10"/>
      <c r="H57" s="36"/>
      <c r="I57" s="36"/>
      <c r="J57" s="36"/>
      <c r="K57" s="36"/>
      <c r="L57" s="36"/>
      <c r="M57" s="10"/>
      <c r="N57" s="10"/>
      <c r="O57" s="10"/>
      <c r="P57" s="10"/>
      <c r="Q57" s="10"/>
      <c r="R57" s="10"/>
      <c r="S57" s="25"/>
    </row>
    <row r="58" spans="1:19" ht="13.5" customHeight="1" hidden="1">
      <c r="A58" s="25"/>
      <c r="B58" s="10"/>
      <c r="C58" s="10"/>
      <c r="D58" s="10"/>
      <c r="E58" s="10"/>
      <c r="F58" s="10"/>
      <c r="G58" s="10"/>
      <c r="H58" s="37"/>
      <c r="I58" s="37"/>
      <c r="J58" s="37"/>
      <c r="K58" s="37"/>
      <c r="L58" s="37"/>
      <c r="M58" s="10"/>
      <c r="N58" s="10"/>
      <c r="O58" s="10"/>
      <c r="P58" s="10"/>
      <c r="Q58" s="10"/>
      <c r="R58" s="10"/>
      <c r="S58" s="25"/>
    </row>
    <row r="59" spans="2:18" s="25" customFormat="1" ht="12.75" customHeight="1">
      <c r="B59" s="10" t="s">
        <v>14</v>
      </c>
      <c r="C59" s="39"/>
      <c r="D59" s="120"/>
      <c r="E59" s="121"/>
      <c r="F59" s="10"/>
      <c r="G59" s="10"/>
      <c r="H59" s="37"/>
      <c r="I59" s="37"/>
      <c r="J59" s="37"/>
      <c r="K59" s="37"/>
      <c r="L59" s="37"/>
      <c r="M59" s="10"/>
      <c r="N59" s="10"/>
      <c r="O59" s="10"/>
      <c r="P59" s="10"/>
      <c r="Q59" s="10"/>
      <c r="R59" s="10"/>
    </row>
    <row r="60" spans="1:18" s="25" customFormat="1" ht="9.75" customHeight="1">
      <c r="A60" s="122"/>
      <c r="B60" s="123" t="s">
        <v>20</v>
      </c>
      <c r="C60" s="10"/>
      <c r="D60" s="10"/>
      <c r="E60" s="124"/>
      <c r="F60" s="124"/>
      <c r="G60" s="125"/>
      <c r="H60" s="38"/>
      <c r="I60" s="38"/>
      <c r="J60" s="38"/>
      <c r="K60" s="38"/>
      <c r="L60" s="38"/>
      <c r="M60" s="10"/>
      <c r="N60" s="10"/>
      <c r="O60" s="10"/>
      <c r="P60" s="10"/>
      <c r="Q60" s="10"/>
      <c r="R60" s="10"/>
    </row>
    <row r="61" spans="2:18" s="25" customFormat="1" ht="12.75">
      <c r="B61" s="39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126"/>
      <c r="G65" s="126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2"/>
      <c r="B66" s="122"/>
      <c r="C66" s="127"/>
      <c r="D66" s="127"/>
      <c r="E66" s="127"/>
      <c r="F66" s="127"/>
      <c r="G66" s="127"/>
      <c r="H66" s="39"/>
      <c r="I66" s="39"/>
      <c r="J66" s="39"/>
      <c r="K66" s="39"/>
      <c r="L66" s="39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38"/>
      <c r="F68" s="38"/>
      <c r="G68" s="38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38"/>
      <c r="F69" s="38"/>
      <c r="G69" s="38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8"/>
      <c r="B70" s="10"/>
      <c r="C70" s="10"/>
      <c r="D70" s="10"/>
      <c r="E70" s="125"/>
      <c r="F70" s="125"/>
      <c r="G70" s="125"/>
      <c r="H70" s="38"/>
      <c r="I70" s="38"/>
      <c r="J70" s="38"/>
      <c r="K70" s="38"/>
      <c r="L70" s="38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29"/>
      <c r="G72" s="129"/>
      <c r="H72" s="35"/>
      <c r="I72" s="35"/>
      <c r="J72" s="35"/>
      <c r="K72" s="35"/>
      <c r="L72" s="35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117"/>
      <c r="F73" s="129"/>
      <c r="G73" s="129"/>
      <c r="H73" s="35"/>
      <c r="I73" s="35"/>
      <c r="J73" s="35"/>
      <c r="K73" s="35"/>
      <c r="L73" s="35"/>
      <c r="M73" s="10"/>
      <c r="N73" s="10"/>
      <c r="O73" s="10"/>
      <c r="P73" s="10"/>
      <c r="Q73" s="10"/>
      <c r="R73" s="10"/>
    </row>
    <row r="74" spans="1:18" s="25" customFormat="1" ht="18.75">
      <c r="A74" s="122"/>
      <c r="B74" s="122"/>
      <c r="C74" s="122"/>
      <c r="D74" s="122"/>
      <c r="E74" s="122"/>
      <c r="F74" s="122"/>
      <c r="G74" s="130"/>
      <c r="H74" s="131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2:18" s="25" customFormat="1" ht="12.75"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2:18" s="25" customFormat="1" ht="12.75">
      <c r="B76" s="10"/>
      <c r="C76" s="10"/>
      <c r="D76" s="116"/>
      <c r="E76" s="117"/>
      <c r="F76" s="117"/>
      <c r="G76" s="117"/>
      <c r="H76" s="35"/>
      <c r="I76" s="35"/>
      <c r="J76" s="35"/>
      <c r="K76" s="118"/>
      <c r="L76" s="118"/>
      <c r="M76" s="10"/>
      <c r="N76" s="10"/>
      <c r="O76" s="10"/>
      <c r="P76" s="10"/>
      <c r="Q76" s="10"/>
      <c r="R76" s="10"/>
    </row>
    <row r="77" spans="2:18" s="25" customFormat="1" ht="12.75">
      <c r="B77" s="10"/>
      <c r="C77" s="10"/>
      <c r="D77" s="39"/>
      <c r="E77" s="10"/>
      <c r="F77" s="10"/>
      <c r="G77" s="10"/>
      <c r="H77" s="36"/>
      <c r="I77" s="36"/>
      <c r="J77" s="36"/>
      <c r="K77" s="36"/>
      <c r="L77" s="36"/>
      <c r="M77" s="10"/>
      <c r="N77" s="10"/>
      <c r="O77" s="10"/>
      <c r="Q77" s="10"/>
      <c r="R77" s="10"/>
    </row>
    <row r="78" s="25" customFormat="1" ht="12.75">
      <c r="P78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2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4"/>
  <sheetViews>
    <sheetView tabSelected="1" zoomScalePageLayoutView="0" workbookViewId="0" topLeftCell="F1">
      <selection activeCell="F1" sqref="A1:IV16384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71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42</v>
      </c>
      <c r="J8" s="11" t="s">
        <v>57</v>
      </c>
      <c r="K8" s="11" t="s">
        <v>73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v>2605.66</v>
      </c>
      <c r="P25" s="7">
        <v>2939.37</v>
      </c>
      <c r="Q25" s="6">
        <f t="shared" si="2"/>
        <v>2605.66</v>
      </c>
      <c r="R25" s="48">
        <f t="shared" si="3"/>
        <v>841605.66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v>6782.79</v>
      </c>
      <c r="P26" s="7">
        <v>7651.48</v>
      </c>
      <c r="Q26" s="6">
        <f t="shared" si="2"/>
        <v>6782.790000000001</v>
      </c>
      <c r="R26" s="48">
        <f t="shared" si="3"/>
        <v>2190782.79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v>420000</v>
      </c>
      <c r="K27" s="53">
        <f t="shared" si="0"/>
        <v>4930000</v>
      </c>
      <c r="L27" s="47">
        <f t="shared" si="1"/>
        <v>4930000</v>
      </c>
      <c r="M27" s="7"/>
      <c r="N27" s="7">
        <v>12495.55</v>
      </c>
      <c r="O27" s="5">
        <v>16068.36</v>
      </c>
      <c r="P27" s="7">
        <v>12495.55</v>
      </c>
      <c r="Q27" s="6">
        <f t="shared" si="2"/>
        <v>16068.36</v>
      </c>
      <c r="R27" s="48">
        <f t="shared" si="3"/>
        <v>4946068.36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v>910000</v>
      </c>
      <c r="K28" s="53">
        <f t="shared" si="0"/>
        <v>9090000</v>
      </c>
      <c r="L28" s="47">
        <f t="shared" si="1"/>
        <v>9090000</v>
      </c>
      <c r="M28" s="7"/>
      <c r="N28" s="7">
        <v>23356.16</v>
      </c>
      <c r="O28" s="5">
        <v>29871.58</v>
      </c>
      <c r="P28" s="7">
        <v>23356.16</v>
      </c>
      <c r="Q28" s="6">
        <f t="shared" si="2"/>
        <v>29871.580000000005</v>
      </c>
      <c r="R28" s="48">
        <f t="shared" si="3"/>
        <v>9119871.58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v>526000</v>
      </c>
      <c r="K29" s="53">
        <f t="shared" si="0"/>
        <v>9474000</v>
      </c>
      <c r="L29" s="47">
        <f t="shared" si="1"/>
        <v>9474000</v>
      </c>
      <c r="M29" s="7"/>
      <c r="N29" s="7">
        <v>23356.16</v>
      </c>
      <c r="O29" s="5">
        <v>30371.7</v>
      </c>
      <c r="P29" s="7">
        <v>23356.16</v>
      </c>
      <c r="Q29" s="6">
        <f t="shared" si="2"/>
        <v>30371.7</v>
      </c>
      <c r="R29" s="48">
        <f t="shared" si="3"/>
        <v>9504371.7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v>389000</v>
      </c>
      <c r="K30" s="53">
        <f t="shared" si="0"/>
        <v>6611000</v>
      </c>
      <c r="L30" s="47">
        <f t="shared" si="1"/>
        <v>6611000</v>
      </c>
      <c r="M30" s="7"/>
      <c r="N30" s="7">
        <v>16349.32</v>
      </c>
      <c r="O30" s="5">
        <v>21233.1</v>
      </c>
      <c r="P30" s="7">
        <v>16349.32</v>
      </c>
      <c r="Q30" s="6">
        <f t="shared" si="2"/>
        <v>21233.1</v>
      </c>
      <c r="R30" s="48">
        <f t="shared" si="3"/>
        <v>6632233.1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v>18634.05</v>
      </c>
      <c r="P31" s="94">
        <v>14013.7</v>
      </c>
      <c r="Q31" s="6">
        <f t="shared" si="2"/>
        <v>18634.05</v>
      </c>
      <c r="R31" s="48">
        <f t="shared" si="3"/>
        <v>6018634.05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v>31056.75</v>
      </c>
      <c r="P32" s="135">
        <v>23356.16</v>
      </c>
      <c r="Q32" s="6">
        <f t="shared" si="2"/>
        <v>31056.750000000004</v>
      </c>
      <c r="R32" s="48">
        <f t="shared" si="3"/>
        <v>10031056.75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v>31056.75</v>
      </c>
      <c r="P33" s="94">
        <v>23356.16</v>
      </c>
      <c r="Q33" s="6">
        <f t="shared" si="2"/>
        <v>31056.750000000004</v>
      </c>
      <c r="R33" s="48">
        <f t="shared" si="3"/>
        <v>10031056.75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v>20186.89</v>
      </c>
      <c r="P35" s="140">
        <v>15181.51</v>
      </c>
      <c r="Q35" s="32">
        <f t="shared" si="2"/>
        <v>20186.89</v>
      </c>
      <c r="R35" s="32">
        <f t="shared" si="3"/>
        <v>6520186.89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v>38510.37</v>
      </c>
      <c r="P36" s="140">
        <v>7473.97</v>
      </c>
      <c r="Q36" s="32">
        <f t="shared" si="2"/>
        <v>38510.37</v>
      </c>
      <c r="R36" s="32">
        <f t="shared" si="3"/>
        <v>12438510.37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thickBot="1">
      <c r="A37" s="95" t="s">
        <v>21</v>
      </c>
      <c r="B37" s="18"/>
      <c r="C37" s="18"/>
      <c r="D37" s="96"/>
      <c r="E37" s="97"/>
      <c r="F37" s="98"/>
      <c r="G37" s="98"/>
      <c r="H37" s="136">
        <f>H23+H24+H25+H26+H27+H28+H29+H30+H31+H32+H33+H34+H35+H36</f>
        <v>80273000</v>
      </c>
      <c r="I37" s="136">
        <f aca="true" t="shared" si="4" ref="I37:S37">I23+I24+I25+I26+I27+I28+I29+I30+I31+I32+I33+I34+I35+I36</f>
        <v>0</v>
      </c>
      <c r="J37" s="136">
        <f t="shared" si="4"/>
        <v>2245000</v>
      </c>
      <c r="K37" s="136">
        <f t="shared" si="4"/>
        <v>78028000</v>
      </c>
      <c r="L37" s="136">
        <f t="shared" si="4"/>
        <v>78028000</v>
      </c>
      <c r="M37" s="136">
        <f t="shared" si="4"/>
        <v>0</v>
      </c>
      <c r="N37" s="136">
        <f t="shared" si="4"/>
        <v>176423.22</v>
      </c>
      <c r="O37" s="136">
        <f t="shared" si="4"/>
        <v>246378</v>
      </c>
      <c r="P37" s="136">
        <f t="shared" si="4"/>
        <v>176423.22</v>
      </c>
      <c r="Q37" s="136">
        <f t="shared" si="4"/>
        <v>246378</v>
      </c>
      <c r="R37" s="136">
        <f t="shared" si="4"/>
        <v>78274378</v>
      </c>
      <c r="S37" s="136">
        <f t="shared" si="4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19" ht="16.5" customHeight="1" thickBot="1">
      <c r="A38" s="141" t="s">
        <v>19</v>
      </c>
      <c r="B38" s="142" t="s">
        <v>23</v>
      </c>
      <c r="C38" s="142"/>
      <c r="D38" s="142"/>
      <c r="E38" s="142"/>
      <c r="F38" s="142"/>
      <c r="G38" s="20"/>
      <c r="H38" s="10"/>
      <c r="I38" s="10"/>
      <c r="J38" s="10"/>
      <c r="K38" s="10"/>
      <c r="L38" s="99"/>
      <c r="M38" s="10"/>
      <c r="N38" s="10"/>
      <c r="O38" s="10"/>
      <c r="P38" s="146"/>
      <c r="Q38" s="10"/>
      <c r="R38" s="147"/>
      <c r="S38" s="25"/>
    </row>
    <row r="39" spans="1:19" ht="69" customHeight="1">
      <c r="A39" s="144">
        <v>1</v>
      </c>
      <c r="B39" s="42" t="s">
        <v>23</v>
      </c>
      <c r="C39" s="145" t="s">
        <v>60</v>
      </c>
      <c r="D39" s="132" t="s">
        <v>61</v>
      </c>
      <c r="E39" s="17">
        <v>9000000</v>
      </c>
      <c r="F39" s="132" t="s">
        <v>68</v>
      </c>
      <c r="G39" s="133" t="s">
        <v>28</v>
      </c>
      <c r="H39" s="3">
        <v>9000000</v>
      </c>
      <c r="I39" s="156"/>
      <c r="J39" s="3"/>
      <c r="K39" s="6">
        <f>H39+I39-J39</f>
        <v>9000000</v>
      </c>
      <c r="L39" s="6">
        <f>K39</f>
        <v>9000000</v>
      </c>
      <c r="M39" s="3"/>
      <c r="N39" s="3">
        <v>0</v>
      </c>
      <c r="O39" s="3">
        <v>156270.49</v>
      </c>
      <c r="P39" s="17">
        <v>156270.49</v>
      </c>
      <c r="Q39" s="6">
        <f>N39+O39-P39</f>
        <v>0</v>
      </c>
      <c r="R39" s="6">
        <f>K39+N39+O39-P39</f>
        <v>9000000</v>
      </c>
      <c r="S39" s="25"/>
    </row>
    <row r="40" spans="1:19" ht="69" customHeight="1">
      <c r="A40" s="152">
        <v>2</v>
      </c>
      <c r="B40" s="42" t="s">
        <v>23</v>
      </c>
      <c r="C40" s="145" t="s">
        <v>66</v>
      </c>
      <c r="D40" s="132" t="s">
        <v>61</v>
      </c>
      <c r="E40" s="17">
        <v>5000000</v>
      </c>
      <c r="F40" s="132" t="s">
        <v>67</v>
      </c>
      <c r="G40" s="133" t="s">
        <v>28</v>
      </c>
      <c r="H40" s="3">
        <v>5000000</v>
      </c>
      <c r="I40" s="156"/>
      <c r="J40" s="3"/>
      <c r="K40" s="6">
        <f>H40+I40-J40</f>
        <v>5000000</v>
      </c>
      <c r="L40" s="6">
        <f>K40</f>
        <v>5000000</v>
      </c>
      <c r="M40" s="3"/>
      <c r="N40" s="3">
        <v>0</v>
      </c>
      <c r="O40" s="3">
        <v>69453.55</v>
      </c>
      <c r="P40" s="17">
        <v>69453.55</v>
      </c>
      <c r="Q40" s="6">
        <f>N40+O40-P40</f>
        <v>0</v>
      </c>
      <c r="R40" s="6">
        <f>K40+N40+O40-P40</f>
        <v>5000000</v>
      </c>
      <c r="S40" s="25"/>
    </row>
    <row r="41" spans="1:19" ht="16.5" customHeight="1" thickBot="1">
      <c r="A41" s="95" t="s">
        <v>21</v>
      </c>
      <c r="B41" s="143"/>
      <c r="C41" s="143"/>
      <c r="D41" s="14"/>
      <c r="E41" s="14"/>
      <c r="F41" s="14"/>
      <c r="G41" s="14"/>
      <c r="H41" s="1">
        <f>H39+H40</f>
        <v>14000000</v>
      </c>
      <c r="I41" s="155">
        <f aca="true" t="shared" si="5" ref="I41:R41">I39+I40</f>
        <v>0</v>
      </c>
      <c r="J41" s="155">
        <f t="shared" si="5"/>
        <v>0</v>
      </c>
      <c r="K41" s="155">
        <f t="shared" si="5"/>
        <v>14000000</v>
      </c>
      <c r="L41" s="155">
        <f t="shared" si="5"/>
        <v>14000000</v>
      </c>
      <c r="M41" s="1">
        <f t="shared" si="5"/>
        <v>0</v>
      </c>
      <c r="N41" s="1">
        <f t="shared" si="5"/>
        <v>0</v>
      </c>
      <c r="O41" s="1">
        <f t="shared" si="5"/>
        <v>225724.03999999998</v>
      </c>
      <c r="P41" s="1">
        <f t="shared" si="5"/>
        <v>225724.03999999998</v>
      </c>
      <c r="Q41" s="1">
        <f t="shared" si="5"/>
        <v>0</v>
      </c>
      <c r="R41" s="1">
        <f t="shared" si="5"/>
        <v>14000000</v>
      </c>
      <c r="S41" s="25"/>
    </row>
    <row r="42" spans="1:35" s="83" customFormat="1" ht="18" customHeight="1" thickBot="1">
      <c r="A42" s="101" t="s">
        <v>5</v>
      </c>
      <c r="B42" s="102" t="s">
        <v>22</v>
      </c>
      <c r="C42" s="102"/>
      <c r="D42" s="148"/>
      <c r="E42" s="148"/>
      <c r="F42" s="148"/>
      <c r="G42" s="148"/>
      <c r="H42" s="148"/>
      <c r="I42" s="143"/>
      <c r="J42" s="143"/>
      <c r="K42" s="143"/>
      <c r="L42" s="143"/>
      <c r="M42" s="143"/>
      <c r="N42" s="143"/>
      <c r="O42" s="143"/>
      <c r="P42" s="151"/>
      <c r="Q42" s="143"/>
      <c r="R42" s="149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5" s="83" customFormat="1" ht="69.75" customHeight="1" hidden="1">
      <c r="A43" s="101"/>
      <c r="B43" s="103"/>
      <c r="C43" s="104"/>
      <c r="D43" s="104"/>
      <c r="E43" s="105"/>
      <c r="F43" s="104"/>
      <c r="G43" s="46"/>
      <c r="H43" s="62"/>
      <c r="I43" s="62"/>
      <c r="J43" s="33"/>
      <c r="K43" s="62"/>
      <c r="L43" s="32"/>
      <c r="M43" s="21"/>
      <c r="N43" s="21"/>
      <c r="O43" s="21"/>
      <c r="P43" s="150"/>
      <c r="Q43" s="62"/>
      <c r="R43" s="62"/>
      <c r="S43" s="82"/>
      <c r="T43" s="106"/>
      <c r="U43" s="106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83" customFormat="1" ht="18" customHeight="1" thickBot="1">
      <c r="A44" s="107" t="s">
        <v>21</v>
      </c>
      <c r="B44" s="108"/>
      <c r="C44" s="109"/>
      <c r="D44" s="109"/>
      <c r="E44" s="110"/>
      <c r="F44" s="111"/>
      <c r="G44" s="104"/>
      <c r="H44" s="34">
        <f>H43</f>
        <v>0</v>
      </c>
      <c r="I44" s="34">
        <f>I43</f>
        <v>0</v>
      </c>
      <c r="J44" s="34">
        <f>J43</f>
        <v>0</v>
      </c>
      <c r="K44" s="34">
        <f>K43</f>
        <v>0</v>
      </c>
      <c r="L44" s="34">
        <f>L43</f>
        <v>0</v>
      </c>
      <c r="M44" s="22">
        <v>3</v>
      </c>
      <c r="N44" s="22">
        <v>0</v>
      </c>
      <c r="O44" s="22">
        <v>0</v>
      </c>
      <c r="P44" s="22">
        <v>0</v>
      </c>
      <c r="Q44" s="34">
        <f>K44</f>
        <v>0</v>
      </c>
      <c r="R44" s="34">
        <f>Q44</f>
        <v>0</v>
      </c>
      <c r="S44" s="82"/>
      <c r="T44" s="11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20" ht="16.5" customHeight="1" thickBot="1">
      <c r="A45" s="113"/>
      <c r="B45" s="20" t="s">
        <v>16</v>
      </c>
      <c r="C45" s="19"/>
      <c r="D45" s="19"/>
      <c r="E45" s="19"/>
      <c r="F45" s="100"/>
      <c r="G45" s="114"/>
      <c r="H45" s="23">
        <f>H37+H43+H41</f>
        <v>94273000</v>
      </c>
      <c r="I45" s="23">
        <f aca="true" t="shared" si="6" ref="I45:R45">I37+I43+I41</f>
        <v>0</v>
      </c>
      <c r="J45" s="23">
        <f t="shared" si="6"/>
        <v>2245000</v>
      </c>
      <c r="K45" s="23">
        <f t="shared" si="6"/>
        <v>92028000</v>
      </c>
      <c r="L45" s="23">
        <f t="shared" si="6"/>
        <v>92028000</v>
      </c>
      <c r="M45" s="23">
        <f t="shared" si="6"/>
        <v>0</v>
      </c>
      <c r="N45" s="23">
        <f t="shared" si="6"/>
        <v>176423.22</v>
      </c>
      <c r="O45" s="23">
        <f t="shared" si="6"/>
        <v>472102.04</v>
      </c>
      <c r="P45" s="23">
        <f t="shared" si="6"/>
        <v>402147.26</v>
      </c>
      <c r="Q45" s="23">
        <f t="shared" si="6"/>
        <v>246378</v>
      </c>
      <c r="R45" s="23">
        <f t="shared" si="6"/>
        <v>92274378</v>
      </c>
      <c r="S45" s="25"/>
      <c r="T45" s="115"/>
    </row>
    <row r="46" spans="1:19" ht="16.5" customHeight="1">
      <c r="A46" s="25"/>
      <c r="B46" s="82"/>
      <c r="C46" s="10"/>
      <c r="D46" s="10"/>
      <c r="E46" s="10"/>
      <c r="F46" s="10"/>
      <c r="G46" s="10"/>
      <c r="H46" s="24"/>
      <c r="I46" s="24"/>
      <c r="J46" s="24"/>
      <c r="K46" s="24"/>
      <c r="L46" s="24"/>
      <c r="M46" s="40"/>
      <c r="N46" s="24"/>
      <c r="O46" s="24"/>
      <c r="P46" s="24"/>
      <c r="Q46" s="24"/>
      <c r="R46" s="24"/>
      <c r="S46" s="25"/>
    </row>
    <row r="47" spans="1:19" ht="16.5" customHeight="1">
      <c r="A47" s="25"/>
      <c r="B47" s="10" t="s">
        <v>38</v>
      </c>
      <c r="C47" s="10"/>
      <c r="D47" s="10"/>
      <c r="E47" s="10"/>
      <c r="F47" s="10"/>
      <c r="G47" s="10"/>
      <c r="H47" s="24" t="s">
        <v>47</v>
      </c>
      <c r="I47" s="24"/>
      <c r="J47" s="24"/>
      <c r="K47" s="24"/>
      <c r="L47" s="24"/>
      <c r="M47" s="40"/>
      <c r="N47" s="24"/>
      <c r="O47" s="24"/>
      <c r="P47" s="40"/>
      <c r="Q47" s="24"/>
      <c r="R47" s="24"/>
      <c r="S47" s="25"/>
    </row>
    <row r="48" spans="1:19" ht="16.5" customHeight="1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4"/>
      <c r="Q48" s="10"/>
      <c r="R48" s="10"/>
      <c r="S48" s="25"/>
    </row>
    <row r="49" spans="1:19" ht="15.75" customHeight="1">
      <c r="A49" s="25"/>
      <c r="B49" s="10" t="s">
        <v>27</v>
      </c>
      <c r="C49" s="10"/>
      <c r="D49" s="116"/>
      <c r="E49" s="117"/>
      <c r="F49" s="117"/>
      <c r="G49" s="117"/>
      <c r="H49" s="35" t="s">
        <v>74</v>
      </c>
      <c r="I49" s="35"/>
      <c r="J49" s="35"/>
      <c r="K49" s="35"/>
      <c r="L49" s="35"/>
      <c r="M49" s="10"/>
      <c r="N49" s="10"/>
      <c r="O49" s="10"/>
      <c r="P49" s="10"/>
      <c r="Q49" s="10"/>
      <c r="R49" s="10"/>
      <c r="S49" s="25"/>
    </row>
    <row r="50" spans="1:19" ht="15.75" customHeight="1">
      <c r="A50" s="25"/>
      <c r="B50" s="10" t="s">
        <v>26</v>
      </c>
      <c r="C50" s="10"/>
      <c r="D50" s="116"/>
      <c r="E50" s="117"/>
      <c r="F50" s="117"/>
      <c r="G50" s="117"/>
      <c r="H50" s="35"/>
      <c r="I50" s="35"/>
      <c r="J50" s="35"/>
      <c r="K50" s="118"/>
      <c r="L50" s="118"/>
      <c r="M50" s="10"/>
      <c r="N50" s="10"/>
      <c r="O50" s="10"/>
      <c r="P50" s="10"/>
      <c r="Q50" s="10"/>
      <c r="R50" s="10"/>
      <c r="S50" s="25"/>
    </row>
    <row r="51" spans="1:19" ht="12.75">
      <c r="A51" s="25"/>
      <c r="B51" s="10"/>
      <c r="C51" s="10"/>
      <c r="D51" s="39"/>
      <c r="E51" s="10"/>
      <c r="F51" s="10"/>
      <c r="G51" s="10"/>
      <c r="H51" s="36"/>
      <c r="I51" s="36"/>
      <c r="J51" s="36"/>
      <c r="K51" s="36"/>
      <c r="L51" s="36"/>
      <c r="M51" s="10"/>
      <c r="N51" s="10"/>
      <c r="O51" s="10"/>
      <c r="P51" s="10"/>
      <c r="Q51" s="10"/>
      <c r="R51" s="10"/>
      <c r="S51" s="25"/>
    </row>
    <row r="52" spans="1:19" ht="0.75" customHeight="1">
      <c r="A52" s="25"/>
      <c r="B52" s="10"/>
      <c r="C52" s="10"/>
      <c r="D52" s="39"/>
      <c r="E52" s="10"/>
      <c r="F52" s="10"/>
      <c r="G52" s="10"/>
      <c r="H52" s="119"/>
      <c r="I52" s="36"/>
      <c r="J52" s="36"/>
      <c r="K52" s="36"/>
      <c r="L52" s="36"/>
      <c r="M52" s="10"/>
      <c r="N52" s="10"/>
      <c r="O52" s="10"/>
      <c r="P52" s="10"/>
      <c r="Q52" s="10"/>
      <c r="R52" s="10"/>
      <c r="S52" s="25"/>
    </row>
    <row r="53" spans="1:19" ht="14.25" customHeight="1" hidden="1">
      <c r="A53" s="25"/>
      <c r="B53" s="10"/>
      <c r="C53" s="10"/>
      <c r="D53" s="39"/>
      <c r="E53" s="10"/>
      <c r="F53" s="10"/>
      <c r="G53" s="10"/>
      <c r="H53" s="36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13.5" customHeight="1" hidden="1">
      <c r="A54" s="25"/>
      <c r="B54" s="10"/>
      <c r="C54" s="10"/>
      <c r="D54" s="10"/>
      <c r="E54" s="10"/>
      <c r="F54" s="10"/>
      <c r="G54" s="10"/>
      <c r="H54" s="37"/>
      <c r="I54" s="37"/>
      <c r="J54" s="37"/>
      <c r="K54" s="37"/>
      <c r="L54" s="37"/>
      <c r="M54" s="10"/>
      <c r="N54" s="10"/>
      <c r="O54" s="10"/>
      <c r="P54" s="10"/>
      <c r="Q54" s="10"/>
      <c r="R54" s="10"/>
      <c r="S54" s="25"/>
    </row>
    <row r="55" spans="2:18" s="25" customFormat="1" ht="12.75" customHeight="1">
      <c r="B55" s="10" t="s">
        <v>14</v>
      </c>
      <c r="C55" s="39"/>
      <c r="D55" s="120"/>
      <c r="E55" s="121"/>
      <c r="F55" s="10"/>
      <c r="G55" s="10"/>
      <c r="H55" s="37"/>
      <c r="I55" s="37"/>
      <c r="J55" s="37"/>
      <c r="K55" s="37"/>
      <c r="L55" s="37"/>
      <c r="M55" s="10"/>
      <c r="N55" s="10"/>
      <c r="O55" s="10"/>
      <c r="P55" s="10"/>
      <c r="Q55" s="10"/>
      <c r="R55" s="10"/>
    </row>
    <row r="56" spans="1:18" s="25" customFormat="1" ht="9.75" customHeight="1">
      <c r="A56" s="122"/>
      <c r="B56" s="123" t="s">
        <v>20</v>
      </c>
      <c r="C56" s="10"/>
      <c r="D56" s="10"/>
      <c r="E56" s="124"/>
      <c r="F56" s="124"/>
      <c r="G56" s="125"/>
      <c r="H56" s="38"/>
      <c r="I56" s="38"/>
      <c r="J56" s="38"/>
      <c r="K56" s="38"/>
      <c r="L56" s="38"/>
      <c r="M56" s="10"/>
      <c r="N56" s="10"/>
      <c r="O56" s="10"/>
      <c r="P56" s="10"/>
      <c r="Q56" s="10"/>
      <c r="R56" s="10"/>
    </row>
    <row r="57" spans="2:18" s="25" customFormat="1" ht="12.75">
      <c r="B57" s="39"/>
      <c r="C57" s="10"/>
      <c r="D57" s="116"/>
      <c r="E57" s="38"/>
      <c r="F57" s="38"/>
      <c r="G57" s="38"/>
      <c r="H57" s="35"/>
      <c r="I57" s="35"/>
      <c r="J57" s="35"/>
      <c r="K57" s="35"/>
      <c r="L57" s="35"/>
      <c r="M57" s="10"/>
      <c r="N57" s="10"/>
      <c r="O57" s="10"/>
      <c r="P57" s="10"/>
      <c r="Q57" s="10"/>
      <c r="R57" s="10"/>
    </row>
    <row r="58" spans="2:18" s="25" customFormat="1" ht="12.75">
      <c r="B58" s="10"/>
      <c r="C58" s="10"/>
      <c r="D58" s="116"/>
      <c r="E58" s="38"/>
      <c r="F58" s="38"/>
      <c r="G58" s="38"/>
      <c r="H58" s="35"/>
      <c r="I58" s="35"/>
      <c r="J58" s="35"/>
      <c r="K58" s="35"/>
      <c r="L58" s="35"/>
      <c r="M58" s="10"/>
      <c r="N58" s="10"/>
      <c r="O58" s="10"/>
      <c r="P58" s="10"/>
      <c r="Q58" s="10"/>
      <c r="R58" s="10"/>
    </row>
    <row r="59" spans="2:18" s="25" customFormat="1" ht="12.75">
      <c r="B59" s="10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126"/>
      <c r="G61" s="126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1:18" s="25" customFormat="1" ht="18.75">
      <c r="A62" s="122"/>
      <c r="B62" s="122"/>
      <c r="C62" s="127"/>
      <c r="D62" s="127"/>
      <c r="E62" s="127"/>
      <c r="F62" s="127"/>
      <c r="G62" s="127"/>
      <c r="H62" s="39"/>
      <c r="I62" s="39"/>
      <c r="J62" s="39"/>
      <c r="K62" s="39"/>
      <c r="L62" s="39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8"/>
      <c r="B66" s="10"/>
      <c r="C66" s="10"/>
      <c r="D66" s="10"/>
      <c r="E66" s="125"/>
      <c r="F66" s="125"/>
      <c r="G66" s="125"/>
      <c r="H66" s="38"/>
      <c r="I66" s="38"/>
      <c r="J66" s="38"/>
      <c r="K66" s="38"/>
      <c r="L66" s="38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117"/>
      <c r="F67" s="129"/>
      <c r="G67" s="129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117"/>
      <c r="F68" s="129"/>
      <c r="G68" s="129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2"/>
      <c r="B70" s="122"/>
      <c r="C70" s="122"/>
      <c r="D70" s="122"/>
      <c r="E70" s="122"/>
      <c r="F70" s="122"/>
      <c r="G70" s="130"/>
      <c r="H70" s="131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17"/>
      <c r="G72" s="117"/>
      <c r="H72" s="35"/>
      <c r="I72" s="35"/>
      <c r="J72" s="35"/>
      <c r="K72" s="118"/>
      <c r="L72" s="118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39"/>
      <c r="E73" s="10"/>
      <c r="F73" s="10"/>
      <c r="G73" s="10"/>
      <c r="H73" s="36"/>
      <c r="I73" s="36"/>
      <c r="J73" s="36"/>
      <c r="K73" s="36"/>
      <c r="L73" s="36"/>
      <c r="M73" s="10"/>
      <c r="N73" s="10"/>
      <c r="O73" s="10"/>
      <c r="Q73" s="10"/>
      <c r="R73" s="10"/>
    </row>
    <row r="74" s="25" customFormat="1" ht="12.75">
      <c r="P74" s="8"/>
    </row>
  </sheetData>
  <sheetProtection/>
  <mergeCells count="2">
    <mergeCell ref="C5:M5"/>
    <mergeCell ref="B10:R10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4"/>
  <sheetViews>
    <sheetView zoomScalePageLayoutView="0" workbookViewId="0" topLeftCell="A1">
      <pane xSplit="21165" topLeftCell="K1" activePane="topLeft" state="split"/>
      <selection pane="topLeft" activeCell="A1" sqref="A1:IV16384"/>
      <selection pane="topRight" activeCell="K25" sqref="K25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75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78</v>
      </c>
      <c r="J8" s="11" t="s">
        <v>77</v>
      </c>
      <c r="K8" s="11" t="s">
        <v>76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</f>
        <v>5043.21</v>
      </c>
      <c r="P25" s="7">
        <f>2939.37+2605.66</f>
        <v>5545.03</v>
      </c>
      <c r="Q25" s="6">
        <f t="shared" si="2"/>
        <v>2437.55</v>
      </c>
      <c r="R25" s="48">
        <f t="shared" si="3"/>
        <v>841437.5499999999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</f>
        <v>13127.98</v>
      </c>
      <c r="P26" s="7">
        <f>7651.48+6782.79</f>
        <v>14434.27</v>
      </c>
      <c r="Q26" s="6">
        <f t="shared" si="2"/>
        <v>6345.189999999999</v>
      </c>
      <c r="R26" s="48">
        <f t="shared" si="3"/>
        <v>2190345.19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</f>
        <v>1240000</v>
      </c>
      <c r="K27" s="53">
        <f t="shared" si="0"/>
        <v>4110000</v>
      </c>
      <c r="L27" s="47">
        <f t="shared" si="1"/>
        <v>4110000</v>
      </c>
      <c r="M27" s="7"/>
      <c r="N27" s="7">
        <v>12495.55</v>
      </c>
      <c r="O27" s="5">
        <f>16068.36+12598.02</f>
        <v>28666.38</v>
      </c>
      <c r="P27" s="7">
        <f>12495.55+16068.36</f>
        <v>28563.91</v>
      </c>
      <c r="Q27" s="6">
        <f t="shared" si="2"/>
        <v>12598.02</v>
      </c>
      <c r="R27" s="48">
        <f t="shared" si="3"/>
        <v>4122598.0199999996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</f>
        <v>1820000</v>
      </c>
      <c r="K28" s="53">
        <f t="shared" si="0"/>
        <v>8180000</v>
      </c>
      <c r="L28" s="47">
        <f t="shared" si="1"/>
        <v>8180000</v>
      </c>
      <c r="M28" s="7"/>
      <c r="N28" s="7">
        <v>23356.16</v>
      </c>
      <c r="O28" s="5">
        <f>29871.58+24494.76</f>
        <v>54366.34</v>
      </c>
      <c r="P28" s="7">
        <f>23356.16+29871.58</f>
        <v>53227.740000000005</v>
      </c>
      <c r="Q28" s="6">
        <f t="shared" si="2"/>
        <v>24494.759999999995</v>
      </c>
      <c r="R28" s="48">
        <f t="shared" si="3"/>
        <v>8204494.76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</f>
        <v>1052000</v>
      </c>
      <c r="K29" s="53">
        <f t="shared" si="0"/>
        <v>8948000</v>
      </c>
      <c r="L29" s="47">
        <f t="shared" si="1"/>
        <v>8948000</v>
      </c>
      <c r="M29" s="7"/>
      <c r="N29" s="7">
        <v>23356.16</v>
      </c>
      <c r="O29" s="5">
        <f>30371.7+26418.27</f>
        <v>56789.97</v>
      </c>
      <c r="P29" s="7">
        <f>23356.16+30371.7</f>
        <v>53727.86</v>
      </c>
      <c r="Q29" s="6">
        <f t="shared" si="2"/>
        <v>26418.270000000004</v>
      </c>
      <c r="R29" s="48">
        <f t="shared" si="3"/>
        <v>8974418.270000001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</f>
        <v>778000</v>
      </c>
      <c r="K30" s="53">
        <f t="shared" si="0"/>
        <v>6222000</v>
      </c>
      <c r="L30" s="47">
        <f t="shared" si="1"/>
        <v>6222000</v>
      </c>
      <c r="M30" s="7"/>
      <c r="N30" s="7">
        <v>16349.32</v>
      </c>
      <c r="O30" s="5">
        <f>21233.1+18388.6</f>
        <v>39621.7</v>
      </c>
      <c r="P30" s="7">
        <f>16349.32+21233.1</f>
        <v>37582.42</v>
      </c>
      <c r="Q30" s="6">
        <f t="shared" si="2"/>
        <v>18388.6</v>
      </c>
      <c r="R30" s="48">
        <f t="shared" si="3"/>
        <v>6240388.600000001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</f>
        <v>36065.899999999994</v>
      </c>
      <c r="P31" s="94">
        <f>14013.7+18634.05</f>
        <v>32647.75</v>
      </c>
      <c r="Q31" s="6">
        <f t="shared" si="2"/>
        <v>17431.84999999999</v>
      </c>
      <c r="R31" s="48">
        <f t="shared" si="3"/>
        <v>6017431.850000001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</f>
        <v>60109.84</v>
      </c>
      <c r="P32" s="135">
        <f>23356.16+31056.75</f>
        <v>54412.91</v>
      </c>
      <c r="Q32" s="6">
        <f t="shared" si="2"/>
        <v>29053.089999999997</v>
      </c>
      <c r="R32" s="48">
        <f t="shared" si="3"/>
        <v>10029053.09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</f>
        <v>60109.84</v>
      </c>
      <c r="P33" s="94">
        <f>23356.16+31056.75</f>
        <v>54412.91</v>
      </c>
      <c r="Q33" s="6">
        <f t="shared" si="2"/>
        <v>29053.089999999997</v>
      </c>
      <c r="R33" s="48">
        <f t="shared" si="3"/>
        <v>10029053.09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</f>
        <v>39071.399999999994</v>
      </c>
      <c r="P35" s="140">
        <f>15181.51+20186.89</f>
        <v>35368.4</v>
      </c>
      <c r="Q35" s="32">
        <f t="shared" si="2"/>
        <v>18884.509999999995</v>
      </c>
      <c r="R35" s="32">
        <f t="shared" si="3"/>
        <v>6518884.51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</f>
        <v>74536.20000000001</v>
      </c>
      <c r="P36" s="140">
        <f>7473.97+38510.37</f>
        <v>45984.340000000004</v>
      </c>
      <c r="Q36" s="32">
        <f t="shared" si="2"/>
        <v>36025.83000000001</v>
      </c>
      <c r="R36" s="32">
        <f t="shared" si="3"/>
        <v>12436025.83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thickBot="1">
      <c r="A37" s="95" t="s">
        <v>21</v>
      </c>
      <c r="B37" s="18"/>
      <c r="C37" s="18"/>
      <c r="D37" s="96"/>
      <c r="E37" s="97"/>
      <c r="F37" s="98"/>
      <c r="G37" s="98"/>
      <c r="H37" s="136">
        <f>H23+H24+H25+H26+H27+H28+H29+H30+H31+H32+H33+H34+H35+H36</f>
        <v>80273000</v>
      </c>
      <c r="I37" s="136">
        <f aca="true" t="shared" si="4" ref="I37:S37">I23+I24+I25+I26+I27+I28+I29+I30+I31+I32+I33+I34+I35+I36</f>
        <v>0</v>
      </c>
      <c r="J37" s="136">
        <f t="shared" si="4"/>
        <v>4890000</v>
      </c>
      <c r="K37" s="136">
        <f t="shared" si="4"/>
        <v>75383000</v>
      </c>
      <c r="L37" s="136">
        <f t="shared" si="4"/>
        <v>75383000</v>
      </c>
      <c r="M37" s="136">
        <f t="shared" si="4"/>
        <v>0</v>
      </c>
      <c r="N37" s="136">
        <f t="shared" si="4"/>
        <v>176423.22</v>
      </c>
      <c r="O37" s="136">
        <f t="shared" si="4"/>
        <v>467508.76000000007</v>
      </c>
      <c r="P37" s="136">
        <f t="shared" si="4"/>
        <v>422801.2200000001</v>
      </c>
      <c r="Q37" s="136">
        <f t="shared" si="4"/>
        <v>221130.75999999995</v>
      </c>
      <c r="R37" s="136">
        <f t="shared" si="4"/>
        <v>75604130.76</v>
      </c>
      <c r="S37" s="136">
        <f t="shared" si="4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19" ht="16.5" customHeight="1" thickBot="1">
      <c r="A38" s="141" t="s">
        <v>19</v>
      </c>
      <c r="B38" s="142" t="s">
        <v>23</v>
      </c>
      <c r="C38" s="142"/>
      <c r="D38" s="142"/>
      <c r="E38" s="142"/>
      <c r="F38" s="142"/>
      <c r="G38" s="20"/>
      <c r="H38" s="10"/>
      <c r="I38" s="10"/>
      <c r="J38" s="10"/>
      <c r="K38" s="10"/>
      <c r="L38" s="99"/>
      <c r="M38" s="10"/>
      <c r="N38" s="10"/>
      <c r="O38" s="10"/>
      <c r="P38" s="146"/>
      <c r="Q38" s="10"/>
      <c r="R38" s="147"/>
      <c r="S38" s="25"/>
    </row>
    <row r="39" spans="1:19" ht="69" customHeight="1">
      <c r="A39" s="144">
        <v>1</v>
      </c>
      <c r="B39" s="42" t="s">
        <v>23</v>
      </c>
      <c r="C39" s="145" t="s">
        <v>60</v>
      </c>
      <c r="D39" s="132" t="s">
        <v>61</v>
      </c>
      <c r="E39" s="17">
        <v>9000000</v>
      </c>
      <c r="F39" s="132" t="s">
        <v>68</v>
      </c>
      <c r="G39" s="133" t="s">
        <v>28</v>
      </c>
      <c r="H39" s="3">
        <v>9000000</v>
      </c>
      <c r="I39" s="156"/>
      <c r="J39" s="3"/>
      <c r="K39" s="6">
        <f>H39+I39-J39</f>
        <v>9000000</v>
      </c>
      <c r="L39" s="6">
        <f>K39</f>
        <v>9000000</v>
      </c>
      <c r="M39" s="3"/>
      <c r="N39" s="3">
        <v>0</v>
      </c>
      <c r="O39" s="3">
        <v>302459.01</v>
      </c>
      <c r="P39" s="17">
        <f>156270.49+146188.52</f>
        <v>302459.01</v>
      </c>
      <c r="Q39" s="6">
        <f>N39+O39-P39</f>
        <v>0</v>
      </c>
      <c r="R39" s="6">
        <f>K39+N39+O39-P39</f>
        <v>9000000</v>
      </c>
      <c r="S39" s="25"/>
    </row>
    <row r="40" spans="1:19" ht="69" customHeight="1">
      <c r="A40" s="152">
        <v>2</v>
      </c>
      <c r="B40" s="42" t="s">
        <v>23</v>
      </c>
      <c r="C40" s="145" t="s">
        <v>66</v>
      </c>
      <c r="D40" s="132" t="s">
        <v>61</v>
      </c>
      <c r="E40" s="17">
        <v>5000000</v>
      </c>
      <c r="F40" s="132" t="s">
        <v>67</v>
      </c>
      <c r="G40" s="133" t="s">
        <v>28</v>
      </c>
      <c r="H40" s="3">
        <v>5000000</v>
      </c>
      <c r="I40" s="156"/>
      <c r="J40" s="3"/>
      <c r="K40" s="6">
        <f>H40+I40-J40</f>
        <v>5000000</v>
      </c>
      <c r="L40" s="6">
        <f>K40</f>
        <v>5000000</v>
      </c>
      <c r="M40" s="3"/>
      <c r="N40" s="3">
        <v>0</v>
      </c>
      <c r="O40" s="3">
        <v>134426.23</v>
      </c>
      <c r="P40" s="17">
        <f>69453.55+64972.68</f>
        <v>134426.23</v>
      </c>
      <c r="Q40" s="6">
        <f>N40+O40-P40</f>
        <v>0</v>
      </c>
      <c r="R40" s="6">
        <f>K40+N40+O40-P40</f>
        <v>5000000</v>
      </c>
      <c r="S40" s="25"/>
    </row>
    <row r="41" spans="1:19" ht="16.5" customHeight="1" thickBot="1">
      <c r="A41" s="95" t="s">
        <v>21</v>
      </c>
      <c r="B41" s="143"/>
      <c r="C41" s="143"/>
      <c r="D41" s="14"/>
      <c r="E41" s="14"/>
      <c r="F41" s="14"/>
      <c r="G41" s="14"/>
      <c r="H41" s="1">
        <f>H39+H40</f>
        <v>14000000</v>
      </c>
      <c r="I41" s="155">
        <f aca="true" t="shared" si="5" ref="I41:R41">I39+I40</f>
        <v>0</v>
      </c>
      <c r="J41" s="155">
        <f t="shared" si="5"/>
        <v>0</v>
      </c>
      <c r="K41" s="155">
        <f t="shared" si="5"/>
        <v>14000000</v>
      </c>
      <c r="L41" s="155">
        <f t="shared" si="5"/>
        <v>14000000</v>
      </c>
      <c r="M41" s="1">
        <f t="shared" si="5"/>
        <v>0</v>
      </c>
      <c r="N41" s="1">
        <f t="shared" si="5"/>
        <v>0</v>
      </c>
      <c r="O41" s="1">
        <f t="shared" si="5"/>
        <v>436885.24</v>
      </c>
      <c r="P41" s="1">
        <f t="shared" si="5"/>
        <v>436885.24</v>
      </c>
      <c r="Q41" s="1">
        <f t="shared" si="5"/>
        <v>0</v>
      </c>
      <c r="R41" s="1">
        <f t="shared" si="5"/>
        <v>14000000</v>
      </c>
      <c r="S41" s="25"/>
    </row>
    <row r="42" spans="1:35" s="83" customFormat="1" ht="18" customHeight="1" thickBot="1">
      <c r="A42" s="101" t="s">
        <v>5</v>
      </c>
      <c r="B42" s="102" t="s">
        <v>22</v>
      </c>
      <c r="C42" s="102"/>
      <c r="D42" s="148"/>
      <c r="E42" s="148"/>
      <c r="F42" s="148"/>
      <c r="G42" s="148"/>
      <c r="H42" s="148"/>
      <c r="I42" s="143"/>
      <c r="J42" s="143"/>
      <c r="K42" s="143"/>
      <c r="L42" s="143"/>
      <c r="M42" s="143"/>
      <c r="N42" s="143"/>
      <c r="O42" s="143"/>
      <c r="P42" s="151"/>
      <c r="Q42" s="143"/>
      <c r="R42" s="149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5" s="83" customFormat="1" ht="69.75" customHeight="1" hidden="1">
      <c r="A43" s="101"/>
      <c r="B43" s="103"/>
      <c r="C43" s="104"/>
      <c r="D43" s="104"/>
      <c r="E43" s="105"/>
      <c r="F43" s="104"/>
      <c r="G43" s="46"/>
      <c r="H43" s="62"/>
      <c r="I43" s="62"/>
      <c r="J43" s="33"/>
      <c r="K43" s="62"/>
      <c r="L43" s="32"/>
      <c r="M43" s="21"/>
      <c r="N43" s="21"/>
      <c r="O43" s="21"/>
      <c r="P43" s="150"/>
      <c r="Q43" s="62"/>
      <c r="R43" s="62"/>
      <c r="S43" s="82"/>
      <c r="T43" s="106"/>
      <c r="U43" s="106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83" customFormat="1" ht="18" customHeight="1" thickBot="1">
      <c r="A44" s="107" t="s">
        <v>21</v>
      </c>
      <c r="B44" s="108"/>
      <c r="C44" s="109"/>
      <c r="D44" s="109"/>
      <c r="E44" s="110"/>
      <c r="F44" s="111"/>
      <c r="G44" s="104"/>
      <c r="H44" s="34">
        <f>H43</f>
        <v>0</v>
      </c>
      <c r="I44" s="34">
        <f>I43</f>
        <v>0</v>
      </c>
      <c r="J44" s="34">
        <f>J43</f>
        <v>0</v>
      </c>
      <c r="K44" s="34">
        <f>K43</f>
        <v>0</v>
      </c>
      <c r="L44" s="34">
        <f>L43</f>
        <v>0</v>
      </c>
      <c r="M44" s="22">
        <v>3</v>
      </c>
      <c r="N44" s="22">
        <v>0</v>
      </c>
      <c r="O44" s="22">
        <v>0</v>
      </c>
      <c r="P44" s="22">
        <v>0</v>
      </c>
      <c r="Q44" s="34">
        <f>K44</f>
        <v>0</v>
      </c>
      <c r="R44" s="34">
        <f>Q44</f>
        <v>0</v>
      </c>
      <c r="S44" s="82"/>
      <c r="T44" s="11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20" ht="16.5" customHeight="1" thickBot="1">
      <c r="A45" s="113"/>
      <c r="B45" s="20" t="s">
        <v>16</v>
      </c>
      <c r="C45" s="19"/>
      <c r="D45" s="19"/>
      <c r="E45" s="19"/>
      <c r="F45" s="100"/>
      <c r="G45" s="114"/>
      <c r="H45" s="23">
        <f>H37+H43+H41</f>
        <v>94273000</v>
      </c>
      <c r="I45" s="23">
        <f aca="true" t="shared" si="6" ref="I45:R45">I37+I43+I41</f>
        <v>0</v>
      </c>
      <c r="J45" s="23">
        <f t="shared" si="6"/>
        <v>4890000</v>
      </c>
      <c r="K45" s="23">
        <f t="shared" si="6"/>
        <v>89383000</v>
      </c>
      <c r="L45" s="23">
        <f t="shared" si="6"/>
        <v>89383000</v>
      </c>
      <c r="M45" s="23">
        <f t="shared" si="6"/>
        <v>0</v>
      </c>
      <c r="N45" s="23">
        <f t="shared" si="6"/>
        <v>176423.22</v>
      </c>
      <c r="O45" s="23">
        <f t="shared" si="6"/>
        <v>904394</v>
      </c>
      <c r="P45" s="23">
        <f t="shared" si="6"/>
        <v>859686.4600000001</v>
      </c>
      <c r="Q45" s="23">
        <f t="shared" si="6"/>
        <v>221130.75999999995</v>
      </c>
      <c r="R45" s="23">
        <f t="shared" si="6"/>
        <v>89604130.76</v>
      </c>
      <c r="S45" s="25"/>
      <c r="T45" s="115"/>
    </row>
    <row r="46" spans="1:19" ht="16.5" customHeight="1">
      <c r="A46" s="25"/>
      <c r="B46" s="82"/>
      <c r="C46" s="10"/>
      <c r="D46" s="10"/>
      <c r="E46" s="10"/>
      <c r="F46" s="10"/>
      <c r="G46" s="10"/>
      <c r="H46" s="24"/>
      <c r="I46" s="24"/>
      <c r="J46" s="24"/>
      <c r="K46" s="24"/>
      <c r="L46" s="24"/>
      <c r="M46" s="40"/>
      <c r="N46" s="24"/>
      <c r="O46" s="24"/>
      <c r="P46" s="24"/>
      <c r="Q46" s="24"/>
      <c r="R46" s="24"/>
      <c r="S46" s="25"/>
    </row>
    <row r="47" spans="1:19" ht="16.5" customHeight="1">
      <c r="A47" s="25"/>
      <c r="B47" s="10" t="s">
        <v>38</v>
      </c>
      <c r="C47" s="10"/>
      <c r="D47" s="10"/>
      <c r="E47" s="10"/>
      <c r="F47" s="10"/>
      <c r="G47" s="10"/>
      <c r="H47" s="24" t="s">
        <v>47</v>
      </c>
      <c r="I47" s="24"/>
      <c r="J47" s="24"/>
      <c r="K47" s="24"/>
      <c r="L47" s="24"/>
      <c r="M47" s="40"/>
      <c r="N47" s="24"/>
      <c r="O47" s="24"/>
      <c r="P47" s="40"/>
      <c r="Q47" s="24"/>
      <c r="R47" s="24"/>
      <c r="S47" s="25"/>
    </row>
    <row r="48" spans="1:19" ht="16.5" customHeight="1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4"/>
      <c r="Q48" s="10"/>
      <c r="R48" s="10"/>
      <c r="S48" s="25"/>
    </row>
    <row r="49" spans="1:19" ht="15.75" customHeight="1">
      <c r="A49" s="25"/>
      <c r="B49" s="10" t="s">
        <v>27</v>
      </c>
      <c r="C49" s="10"/>
      <c r="D49" s="116"/>
      <c r="E49" s="117"/>
      <c r="F49" s="117"/>
      <c r="G49" s="117"/>
      <c r="H49" s="35" t="s">
        <v>74</v>
      </c>
      <c r="I49" s="35"/>
      <c r="J49" s="35"/>
      <c r="K49" s="35"/>
      <c r="L49" s="35"/>
      <c r="M49" s="10"/>
      <c r="N49" s="10"/>
      <c r="O49" s="10"/>
      <c r="P49" s="10"/>
      <c r="Q49" s="10"/>
      <c r="R49" s="10"/>
      <c r="S49" s="25"/>
    </row>
    <row r="50" spans="1:19" ht="15.75" customHeight="1">
      <c r="A50" s="25"/>
      <c r="B50" s="10" t="s">
        <v>26</v>
      </c>
      <c r="C50" s="10"/>
      <c r="D50" s="116"/>
      <c r="E50" s="117"/>
      <c r="F50" s="117"/>
      <c r="G50" s="117"/>
      <c r="H50" s="35"/>
      <c r="I50" s="35"/>
      <c r="J50" s="35"/>
      <c r="K50" s="118"/>
      <c r="L50" s="118"/>
      <c r="M50" s="10"/>
      <c r="N50" s="10"/>
      <c r="O50" s="10"/>
      <c r="P50" s="10"/>
      <c r="Q50" s="10"/>
      <c r="R50" s="10"/>
      <c r="S50" s="25"/>
    </row>
    <row r="51" spans="1:19" ht="12.75">
      <c r="A51" s="25"/>
      <c r="B51" s="10"/>
      <c r="C51" s="10"/>
      <c r="D51" s="39"/>
      <c r="E51" s="10"/>
      <c r="F51" s="10"/>
      <c r="G51" s="10"/>
      <c r="H51" s="36"/>
      <c r="I51" s="36"/>
      <c r="J51" s="36"/>
      <c r="K51" s="36"/>
      <c r="L51" s="36"/>
      <c r="M51" s="10"/>
      <c r="N51" s="10"/>
      <c r="O51" s="10"/>
      <c r="P51" s="10"/>
      <c r="Q51" s="10"/>
      <c r="R51" s="10"/>
      <c r="S51" s="25"/>
    </row>
    <row r="52" spans="1:19" ht="0.75" customHeight="1">
      <c r="A52" s="25"/>
      <c r="B52" s="10"/>
      <c r="C52" s="10"/>
      <c r="D52" s="39"/>
      <c r="E52" s="10"/>
      <c r="F52" s="10"/>
      <c r="G52" s="10"/>
      <c r="H52" s="119"/>
      <c r="I52" s="36"/>
      <c r="J52" s="36"/>
      <c r="K52" s="36"/>
      <c r="L52" s="36"/>
      <c r="M52" s="10"/>
      <c r="N52" s="10"/>
      <c r="O52" s="10"/>
      <c r="P52" s="10"/>
      <c r="Q52" s="10"/>
      <c r="R52" s="10"/>
      <c r="S52" s="25"/>
    </row>
    <row r="53" spans="1:19" ht="14.25" customHeight="1" hidden="1">
      <c r="A53" s="25"/>
      <c r="B53" s="10"/>
      <c r="C53" s="10"/>
      <c r="D53" s="39"/>
      <c r="E53" s="10"/>
      <c r="F53" s="10"/>
      <c r="G53" s="10"/>
      <c r="H53" s="36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13.5" customHeight="1" hidden="1">
      <c r="A54" s="25"/>
      <c r="B54" s="10"/>
      <c r="C54" s="10"/>
      <c r="D54" s="10"/>
      <c r="E54" s="10"/>
      <c r="F54" s="10"/>
      <c r="G54" s="10"/>
      <c r="H54" s="37"/>
      <c r="I54" s="37"/>
      <c r="J54" s="37"/>
      <c r="K54" s="37"/>
      <c r="L54" s="37"/>
      <c r="M54" s="10"/>
      <c r="N54" s="10"/>
      <c r="O54" s="10"/>
      <c r="P54" s="10"/>
      <c r="Q54" s="10"/>
      <c r="R54" s="10"/>
      <c r="S54" s="25"/>
    </row>
    <row r="55" spans="2:18" s="25" customFormat="1" ht="12.75" customHeight="1">
      <c r="B55" s="10" t="s">
        <v>14</v>
      </c>
      <c r="C55" s="39"/>
      <c r="D55" s="120"/>
      <c r="E55" s="121"/>
      <c r="F55" s="10"/>
      <c r="G55" s="10"/>
      <c r="H55" s="37"/>
      <c r="I55" s="37"/>
      <c r="J55" s="37"/>
      <c r="K55" s="37"/>
      <c r="L55" s="37"/>
      <c r="M55" s="10"/>
      <c r="N55" s="10"/>
      <c r="O55" s="10"/>
      <c r="P55" s="10"/>
      <c r="Q55" s="10"/>
      <c r="R55" s="10"/>
    </row>
    <row r="56" spans="1:18" s="25" customFormat="1" ht="9.75" customHeight="1">
      <c r="A56" s="122"/>
      <c r="B56" s="123" t="s">
        <v>20</v>
      </c>
      <c r="C56" s="10"/>
      <c r="D56" s="10"/>
      <c r="E56" s="124"/>
      <c r="F56" s="124"/>
      <c r="G56" s="125"/>
      <c r="H56" s="38"/>
      <c r="I56" s="38"/>
      <c r="J56" s="38"/>
      <c r="K56" s="38"/>
      <c r="L56" s="38"/>
      <c r="M56" s="10"/>
      <c r="N56" s="10"/>
      <c r="O56" s="10"/>
      <c r="P56" s="10"/>
      <c r="Q56" s="10"/>
      <c r="R56" s="10"/>
    </row>
    <row r="57" spans="2:18" s="25" customFormat="1" ht="12.75">
      <c r="B57" s="39"/>
      <c r="C57" s="10"/>
      <c r="D57" s="116"/>
      <c r="E57" s="38"/>
      <c r="F57" s="38"/>
      <c r="G57" s="38"/>
      <c r="H57" s="35"/>
      <c r="I57" s="35"/>
      <c r="J57" s="35"/>
      <c r="K57" s="35"/>
      <c r="L57" s="35"/>
      <c r="M57" s="10"/>
      <c r="N57" s="10"/>
      <c r="O57" s="10"/>
      <c r="P57" s="10"/>
      <c r="Q57" s="10"/>
      <c r="R57" s="10"/>
    </row>
    <row r="58" spans="2:18" s="25" customFormat="1" ht="12.75">
      <c r="B58" s="10"/>
      <c r="C58" s="10"/>
      <c r="D58" s="116"/>
      <c r="E58" s="38"/>
      <c r="F58" s="38"/>
      <c r="G58" s="38"/>
      <c r="H58" s="35"/>
      <c r="I58" s="35"/>
      <c r="J58" s="35"/>
      <c r="K58" s="35"/>
      <c r="L58" s="35"/>
      <c r="M58" s="10"/>
      <c r="N58" s="10"/>
      <c r="O58" s="10"/>
      <c r="P58" s="10"/>
      <c r="Q58" s="10"/>
      <c r="R58" s="10"/>
    </row>
    <row r="59" spans="2:18" s="25" customFormat="1" ht="12.75">
      <c r="B59" s="10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126"/>
      <c r="G61" s="126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1:18" s="25" customFormat="1" ht="18.75">
      <c r="A62" s="122"/>
      <c r="B62" s="122"/>
      <c r="C62" s="127"/>
      <c r="D62" s="127"/>
      <c r="E62" s="127"/>
      <c r="F62" s="127"/>
      <c r="G62" s="127"/>
      <c r="H62" s="39"/>
      <c r="I62" s="39"/>
      <c r="J62" s="39"/>
      <c r="K62" s="39"/>
      <c r="L62" s="39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8"/>
      <c r="B66" s="10"/>
      <c r="C66" s="10"/>
      <c r="D66" s="10"/>
      <c r="E66" s="125"/>
      <c r="F66" s="125"/>
      <c r="G66" s="125"/>
      <c r="H66" s="38"/>
      <c r="I66" s="38"/>
      <c r="J66" s="38"/>
      <c r="K66" s="38"/>
      <c r="L66" s="38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117"/>
      <c r="F67" s="129"/>
      <c r="G67" s="129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117"/>
      <c r="F68" s="129"/>
      <c r="G68" s="129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2"/>
      <c r="B70" s="122"/>
      <c r="C70" s="122"/>
      <c r="D70" s="122"/>
      <c r="E70" s="122"/>
      <c r="F70" s="122"/>
      <c r="G70" s="130"/>
      <c r="H70" s="131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17"/>
      <c r="G72" s="117"/>
      <c r="H72" s="35"/>
      <c r="I72" s="35"/>
      <c r="J72" s="35"/>
      <c r="K72" s="118"/>
      <c r="L72" s="118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39"/>
      <c r="E73" s="10"/>
      <c r="F73" s="10"/>
      <c r="G73" s="10"/>
      <c r="H73" s="36"/>
      <c r="I73" s="36"/>
      <c r="J73" s="36"/>
      <c r="K73" s="36"/>
      <c r="L73" s="36"/>
      <c r="M73" s="10"/>
      <c r="N73" s="10"/>
      <c r="O73" s="10"/>
      <c r="Q73" s="10"/>
      <c r="R73" s="10"/>
    </row>
    <row r="74" s="25" customFormat="1" ht="12.75">
      <c r="P74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4"/>
  <sheetViews>
    <sheetView zoomScalePageLayoutView="0" workbookViewId="0" topLeftCell="A34">
      <selection activeCell="P45" sqref="P45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82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81</v>
      </c>
      <c r="J8" s="11" t="s">
        <v>80</v>
      </c>
      <c r="K8" s="11" t="s">
        <v>79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</f>
        <v>7648.87</v>
      </c>
      <c r="P25" s="7">
        <f>2939.37+2605.66+2437.55</f>
        <v>7982.58</v>
      </c>
      <c r="Q25" s="6">
        <f t="shared" si="2"/>
        <v>2605.66</v>
      </c>
      <c r="R25" s="48">
        <f t="shared" si="3"/>
        <v>841605.66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</f>
        <v>19910.77</v>
      </c>
      <c r="P26" s="7">
        <f>7651.48+6782.79+6345.19</f>
        <v>20779.46</v>
      </c>
      <c r="Q26" s="6">
        <f t="shared" si="2"/>
        <v>6782.790000000001</v>
      </c>
      <c r="R26" s="48">
        <f t="shared" si="3"/>
        <v>2190782.79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</f>
        <v>2060000</v>
      </c>
      <c r="K27" s="53">
        <f t="shared" si="0"/>
        <v>3290000</v>
      </c>
      <c r="L27" s="47">
        <f t="shared" si="1"/>
        <v>3290000</v>
      </c>
      <c r="M27" s="7"/>
      <c r="N27" s="7">
        <v>12495.55</v>
      </c>
      <c r="O27" s="5">
        <f>16068.36+12598.02+11532.07</f>
        <v>40198.45</v>
      </c>
      <c r="P27" s="7">
        <f>12495.55+16068.36+12598.02</f>
        <v>41161.93</v>
      </c>
      <c r="Q27" s="6">
        <f t="shared" si="2"/>
        <v>11532.07</v>
      </c>
      <c r="R27" s="48">
        <f t="shared" si="3"/>
        <v>3301532.07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</f>
        <v>2730000</v>
      </c>
      <c r="K28" s="53">
        <f t="shared" si="0"/>
        <v>7270000</v>
      </c>
      <c r="L28" s="47">
        <f t="shared" si="1"/>
        <v>7270000</v>
      </c>
      <c r="M28" s="7"/>
      <c r="N28" s="7">
        <v>23356.16</v>
      </c>
      <c r="O28" s="5">
        <f>29871.58+24494.76+24036.92</f>
        <v>78403.26</v>
      </c>
      <c r="P28" s="7">
        <f>23356.16+29871.58+24494.76</f>
        <v>77722.5</v>
      </c>
      <c r="Q28" s="6">
        <f t="shared" si="2"/>
        <v>24036.92</v>
      </c>
      <c r="R28" s="48">
        <f t="shared" si="3"/>
        <v>7294036.92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</f>
        <v>1578000</v>
      </c>
      <c r="K29" s="53">
        <f t="shared" si="0"/>
        <v>8422000</v>
      </c>
      <c r="L29" s="47">
        <f t="shared" si="1"/>
        <v>8422000</v>
      </c>
      <c r="M29" s="7"/>
      <c r="N29" s="7">
        <v>23356.16</v>
      </c>
      <c r="O29" s="5">
        <f>30371.7+26418.27+26999.14</f>
        <v>83789.11</v>
      </c>
      <c r="P29" s="7">
        <f>23356.16+30371.7+26418.27</f>
        <v>80146.13</v>
      </c>
      <c r="Q29" s="6">
        <f t="shared" si="2"/>
        <v>26999.14</v>
      </c>
      <c r="R29" s="48">
        <f t="shared" si="3"/>
        <v>8448999.139999999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</f>
        <v>1167000</v>
      </c>
      <c r="K30" s="53">
        <f t="shared" si="0"/>
        <v>5833000</v>
      </c>
      <c r="L30" s="47">
        <f t="shared" si="1"/>
        <v>5833000</v>
      </c>
      <c r="M30" s="7"/>
      <c r="N30" s="7">
        <v>16349.32</v>
      </c>
      <c r="O30" s="5">
        <f>21233.1+18388.6+18738.94</f>
        <v>58360.64</v>
      </c>
      <c r="P30" s="7">
        <f>16349.32+21233.1+18388.6</f>
        <v>55971.02</v>
      </c>
      <c r="Q30" s="6">
        <f t="shared" si="2"/>
        <v>18738.939999999995</v>
      </c>
      <c r="R30" s="48">
        <f t="shared" si="3"/>
        <v>5851738.94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</f>
        <v>54699.95</v>
      </c>
      <c r="P31" s="94">
        <f>14013.7+18634.05+17431.85</f>
        <v>50079.6</v>
      </c>
      <c r="Q31" s="6">
        <f t="shared" si="2"/>
        <v>18634.049999999996</v>
      </c>
      <c r="R31" s="48">
        <f t="shared" si="3"/>
        <v>6018634.050000001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</f>
        <v>91166.59</v>
      </c>
      <c r="P32" s="135">
        <f>23356.16+31056.75+29053.09</f>
        <v>83466</v>
      </c>
      <c r="Q32" s="6">
        <f t="shared" si="2"/>
        <v>31056.75</v>
      </c>
      <c r="R32" s="48">
        <f t="shared" si="3"/>
        <v>10031056.75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</f>
        <v>91166.59</v>
      </c>
      <c r="P33" s="94">
        <f>23356.16+31056.75+29053.09</f>
        <v>83466</v>
      </c>
      <c r="Q33" s="6">
        <f t="shared" si="2"/>
        <v>31056.75</v>
      </c>
      <c r="R33" s="48">
        <f t="shared" si="3"/>
        <v>10031056.75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</f>
        <v>59258.28999999999</v>
      </c>
      <c r="P35" s="140">
        <f>15181.51+20186.89+18884.51</f>
        <v>54252.91</v>
      </c>
      <c r="Q35" s="32">
        <f t="shared" si="2"/>
        <v>20186.889999999985</v>
      </c>
      <c r="R35" s="32">
        <f t="shared" si="3"/>
        <v>6520186.89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</f>
        <v>113046.57</v>
      </c>
      <c r="P36" s="140">
        <f>7473.97+38510.37+36025.83</f>
        <v>82010.17000000001</v>
      </c>
      <c r="Q36" s="32">
        <f t="shared" si="2"/>
        <v>38510.369999999995</v>
      </c>
      <c r="R36" s="32">
        <f t="shared" si="3"/>
        <v>12438510.370000001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thickBot="1">
      <c r="A37" s="95" t="s">
        <v>21</v>
      </c>
      <c r="B37" s="18"/>
      <c r="C37" s="18"/>
      <c r="D37" s="96"/>
      <c r="E37" s="97"/>
      <c r="F37" s="98"/>
      <c r="G37" s="98"/>
      <c r="H37" s="136">
        <f>H23+H24+H25+H26+H27+H28+H29+H30+H31+H32+H33+H34+H35+H36</f>
        <v>80273000</v>
      </c>
      <c r="I37" s="136">
        <f aca="true" t="shared" si="4" ref="I37:S37">I23+I24+I25+I26+I27+I28+I29+I30+I31+I32+I33+I34+I35+I36</f>
        <v>0</v>
      </c>
      <c r="J37" s="136">
        <f t="shared" si="4"/>
        <v>7535000</v>
      </c>
      <c r="K37" s="136">
        <f t="shared" si="4"/>
        <v>72738000</v>
      </c>
      <c r="L37" s="136">
        <f t="shared" si="4"/>
        <v>72738000</v>
      </c>
      <c r="M37" s="136">
        <f t="shared" si="4"/>
        <v>0</v>
      </c>
      <c r="N37" s="136">
        <f t="shared" si="4"/>
        <v>176423.22</v>
      </c>
      <c r="O37" s="136">
        <f t="shared" si="4"/>
        <v>697649.0900000001</v>
      </c>
      <c r="P37" s="136">
        <f t="shared" si="4"/>
        <v>643931.98</v>
      </c>
      <c r="Q37" s="136">
        <f t="shared" si="4"/>
        <v>230140.32999999996</v>
      </c>
      <c r="R37" s="136">
        <f t="shared" si="4"/>
        <v>72968140.33</v>
      </c>
      <c r="S37" s="136">
        <f t="shared" si="4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19" ht="16.5" customHeight="1" thickBot="1">
      <c r="A38" s="141" t="s">
        <v>19</v>
      </c>
      <c r="B38" s="142" t="s">
        <v>23</v>
      </c>
      <c r="C38" s="142"/>
      <c r="D38" s="142"/>
      <c r="E38" s="142"/>
      <c r="F38" s="142"/>
      <c r="G38" s="20"/>
      <c r="H38" s="10"/>
      <c r="I38" s="10"/>
      <c r="J38" s="10"/>
      <c r="K38" s="10"/>
      <c r="L38" s="99"/>
      <c r="M38" s="10"/>
      <c r="N38" s="10"/>
      <c r="O38" s="10"/>
      <c r="P38" s="146"/>
      <c r="Q38" s="10"/>
      <c r="R38" s="147"/>
      <c r="S38" s="25"/>
    </row>
    <row r="39" spans="1:19" ht="69" customHeight="1">
      <c r="A39" s="144">
        <v>1</v>
      </c>
      <c r="B39" s="42" t="s">
        <v>23</v>
      </c>
      <c r="C39" s="145" t="s">
        <v>60</v>
      </c>
      <c r="D39" s="132" t="s">
        <v>61</v>
      </c>
      <c r="E39" s="17">
        <v>9000000</v>
      </c>
      <c r="F39" s="132" t="s">
        <v>68</v>
      </c>
      <c r="G39" s="133" t="s">
        <v>28</v>
      </c>
      <c r="H39" s="3">
        <v>9000000</v>
      </c>
      <c r="I39" s="156"/>
      <c r="J39" s="3"/>
      <c r="K39" s="6">
        <f>H39+I39-J39</f>
        <v>9000000</v>
      </c>
      <c r="L39" s="6">
        <f>K39</f>
        <v>9000000</v>
      </c>
      <c r="M39" s="3"/>
      <c r="N39" s="3">
        <v>0</v>
      </c>
      <c r="O39" s="3">
        <f>302459.01+144836.07</f>
        <v>447295.08</v>
      </c>
      <c r="P39" s="17">
        <f>156270.49+146188.52+144836.07</f>
        <v>447295.08</v>
      </c>
      <c r="Q39" s="6">
        <f>N39+O39-P39</f>
        <v>0</v>
      </c>
      <c r="R39" s="6">
        <f>K39+N39+O39-P39</f>
        <v>9000000</v>
      </c>
      <c r="S39" s="25"/>
    </row>
    <row r="40" spans="1:19" ht="69" customHeight="1">
      <c r="A40" s="152">
        <v>2</v>
      </c>
      <c r="B40" s="42" t="s">
        <v>23</v>
      </c>
      <c r="C40" s="145" t="s">
        <v>66</v>
      </c>
      <c r="D40" s="132" t="s">
        <v>61</v>
      </c>
      <c r="E40" s="17">
        <v>5000000</v>
      </c>
      <c r="F40" s="132" t="s">
        <v>67</v>
      </c>
      <c r="G40" s="133" t="s">
        <v>28</v>
      </c>
      <c r="H40" s="3">
        <v>5000000</v>
      </c>
      <c r="I40" s="156"/>
      <c r="J40" s="3"/>
      <c r="K40" s="6">
        <f>H40+I40-J40</f>
        <v>5000000</v>
      </c>
      <c r="L40" s="6">
        <f>K40</f>
        <v>5000000</v>
      </c>
      <c r="M40" s="3"/>
      <c r="N40" s="3">
        <v>0</v>
      </c>
      <c r="O40" s="3">
        <f>134426.23+69453.55</f>
        <v>203879.78000000003</v>
      </c>
      <c r="P40" s="17">
        <f>69453.55+64972.68+69453.55</f>
        <v>203879.78000000003</v>
      </c>
      <c r="Q40" s="6">
        <f>N40+O40-P40</f>
        <v>0</v>
      </c>
      <c r="R40" s="6">
        <f>K40+N40+O40-P40</f>
        <v>5000000</v>
      </c>
      <c r="S40" s="25"/>
    </row>
    <row r="41" spans="1:19" ht="16.5" customHeight="1" thickBot="1">
      <c r="A41" s="95" t="s">
        <v>21</v>
      </c>
      <c r="B41" s="143"/>
      <c r="C41" s="143"/>
      <c r="D41" s="14"/>
      <c r="E41" s="14"/>
      <c r="F41" s="14"/>
      <c r="G41" s="14"/>
      <c r="H41" s="1">
        <f>H39+H40</f>
        <v>14000000</v>
      </c>
      <c r="I41" s="155">
        <f aca="true" t="shared" si="5" ref="I41:R41">I39+I40</f>
        <v>0</v>
      </c>
      <c r="J41" s="155">
        <f t="shared" si="5"/>
        <v>0</v>
      </c>
      <c r="K41" s="155">
        <f t="shared" si="5"/>
        <v>14000000</v>
      </c>
      <c r="L41" s="155">
        <f t="shared" si="5"/>
        <v>14000000</v>
      </c>
      <c r="M41" s="1">
        <f t="shared" si="5"/>
        <v>0</v>
      </c>
      <c r="N41" s="1">
        <f t="shared" si="5"/>
        <v>0</v>
      </c>
      <c r="O41" s="1">
        <f t="shared" si="5"/>
        <v>651174.8600000001</v>
      </c>
      <c r="P41" s="1">
        <f t="shared" si="5"/>
        <v>651174.8600000001</v>
      </c>
      <c r="Q41" s="1">
        <f t="shared" si="5"/>
        <v>0</v>
      </c>
      <c r="R41" s="1">
        <f t="shared" si="5"/>
        <v>14000000</v>
      </c>
      <c r="S41" s="25"/>
    </row>
    <row r="42" spans="1:35" s="83" customFormat="1" ht="18" customHeight="1" thickBot="1">
      <c r="A42" s="101" t="s">
        <v>5</v>
      </c>
      <c r="B42" s="102" t="s">
        <v>22</v>
      </c>
      <c r="C42" s="102"/>
      <c r="D42" s="148"/>
      <c r="E42" s="148"/>
      <c r="F42" s="148"/>
      <c r="G42" s="148"/>
      <c r="H42" s="148"/>
      <c r="I42" s="143"/>
      <c r="J42" s="143"/>
      <c r="K42" s="143"/>
      <c r="L42" s="143"/>
      <c r="M42" s="143"/>
      <c r="N42" s="143"/>
      <c r="O42" s="143"/>
      <c r="P42" s="151"/>
      <c r="Q42" s="143"/>
      <c r="R42" s="149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</row>
    <row r="43" spans="1:35" s="83" customFormat="1" ht="69.75" customHeight="1" hidden="1">
      <c r="A43" s="101"/>
      <c r="B43" s="103"/>
      <c r="C43" s="104"/>
      <c r="D43" s="104"/>
      <c r="E43" s="105"/>
      <c r="F43" s="104"/>
      <c r="G43" s="46"/>
      <c r="H43" s="62"/>
      <c r="I43" s="62"/>
      <c r="J43" s="33"/>
      <c r="K43" s="62"/>
      <c r="L43" s="32"/>
      <c r="M43" s="21"/>
      <c r="N43" s="21"/>
      <c r="O43" s="21"/>
      <c r="P43" s="150"/>
      <c r="Q43" s="62"/>
      <c r="R43" s="62"/>
      <c r="S43" s="82"/>
      <c r="T43" s="106"/>
      <c r="U43" s="106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83" customFormat="1" ht="18" customHeight="1" thickBot="1">
      <c r="A44" s="107" t="s">
        <v>21</v>
      </c>
      <c r="B44" s="108"/>
      <c r="C44" s="109"/>
      <c r="D44" s="109"/>
      <c r="E44" s="110"/>
      <c r="F44" s="111"/>
      <c r="G44" s="104"/>
      <c r="H44" s="34">
        <f>H43</f>
        <v>0</v>
      </c>
      <c r="I44" s="34">
        <f>I43</f>
        <v>0</v>
      </c>
      <c r="J44" s="34">
        <f>J43</f>
        <v>0</v>
      </c>
      <c r="K44" s="34">
        <f>K43</f>
        <v>0</v>
      </c>
      <c r="L44" s="34">
        <f>L43</f>
        <v>0</v>
      </c>
      <c r="M44" s="22">
        <v>3</v>
      </c>
      <c r="N44" s="22">
        <v>0</v>
      </c>
      <c r="O44" s="22">
        <v>0</v>
      </c>
      <c r="P44" s="22">
        <v>0</v>
      </c>
      <c r="Q44" s="34">
        <f>K44</f>
        <v>0</v>
      </c>
      <c r="R44" s="34">
        <f>Q44</f>
        <v>0</v>
      </c>
      <c r="S44" s="82"/>
      <c r="T44" s="11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20" ht="16.5" customHeight="1" thickBot="1">
      <c r="A45" s="113"/>
      <c r="B45" s="20" t="s">
        <v>16</v>
      </c>
      <c r="C45" s="19"/>
      <c r="D45" s="19"/>
      <c r="E45" s="19"/>
      <c r="F45" s="100"/>
      <c r="G45" s="114"/>
      <c r="H45" s="23">
        <f>H37+H43+H41</f>
        <v>94273000</v>
      </c>
      <c r="I45" s="23">
        <f aca="true" t="shared" si="6" ref="I45:R45">I37+I43+I41</f>
        <v>0</v>
      </c>
      <c r="J45" s="23">
        <f t="shared" si="6"/>
        <v>7535000</v>
      </c>
      <c r="K45" s="23">
        <f t="shared" si="6"/>
        <v>86738000</v>
      </c>
      <c r="L45" s="23">
        <f t="shared" si="6"/>
        <v>86738000</v>
      </c>
      <c r="M45" s="23">
        <f t="shared" si="6"/>
        <v>0</v>
      </c>
      <c r="N45" s="23">
        <f t="shared" si="6"/>
        <v>176423.22</v>
      </c>
      <c r="O45" s="23">
        <f t="shared" si="6"/>
        <v>1348823.9500000002</v>
      </c>
      <c r="P45" s="23">
        <f t="shared" si="6"/>
        <v>1295106.84</v>
      </c>
      <c r="Q45" s="23">
        <f t="shared" si="6"/>
        <v>230140.32999999996</v>
      </c>
      <c r="R45" s="23">
        <f t="shared" si="6"/>
        <v>86968140.33</v>
      </c>
      <c r="S45" s="25"/>
      <c r="T45" s="115"/>
    </row>
    <row r="46" spans="1:19" ht="16.5" customHeight="1">
      <c r="A46" s="25"/>
      <c r="B46" s="82"/>
      <c r="C46" s="10"/>
      <c r="D46" s="10"/>
      <c r="E46" s="10"/>
      <c r="F46" s="10"/>
      <c r="G46" s="10"/>
      <c r="H46" s="24"/>
      <c r="I46" s="24"/>
      <c r="J46" s="24"/>
      <c r="K46" s="24"/>
      <c r="L46" s="24"/>
      <c r="M46" s="40"/>
      <c r="N46" s="24"/>
      <c r="O46" s="24"/>
      <c r="P46" s="24"/>
      <c r="Q46" s="24"/>
      <c r="R46" s="24"/>
      <c r="S46" s="25"/>
    </row>
    <row r="47" spans="1:19" ht="16.5" customHeight="1">
      <c r="A47" s="25"/>
      <c r="B47" s="10" t="s">
        <v>38</v>
      </c>
      <c r="C47" s="10"/>
      <c r="D47" s="10"/>
      <c r="E47" s="10"/>
      <c r="F47" s="10"/>
      <c r="G47" s="10"/>
      <c r="H47" s="24" t="s">
        <v>47</v>
      </c>
      <c r="I47" s="24"/>
      <c r="J47" s="24"/>
      <c r="K47" s="24"/>
      <c r="L47" s="24"/>
      <c r="M47" s="40"/>
      <c r="N47" s="24"/>
      <c r="O47" s="24"/>
      <c r="P47" s="40"/>
      <c r="Q47" s="24"/>
      <c r="R47" s="24"/>
      <c r="S47" s="25"/>
    </row>
    <row r="48" spans="1:19" ht="16.5" customHeight="1">
      <c r="A48" s="25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24"/>
      <c r="Q48" s="10"/>
      <c r="R48" s="10"/>
      <c r="S48" s="25"/>
    </row>
    <row r="49" spans="1:19" ht="15.75" customHeight="1">
      <c r="A49" s="25"/>
      <c r="B49" s="10" t="s">
        <v>27</v>
      </c>
      <c r="C49" s="10"/>
      <c r="D49" s="116"/>
      <c r="E49" s="117"/>
      <c r="F49" s="117"/>
      <c r="G49" s="117"/>
      <c r="H49" s="35" t="s">
        <v>74</v>
      </c>
      <c r="I49" s="35"/>
      <c r="J49" s="35"/>
      <c r="K49" s="35"/>
      <c r="L49" s="35"/>
      <c r="M49" s="10"/>
      <c r="N49" s="10"/>
      <c r="O49" s="10"/>
      <c r="P49" s="10"/>
      <c r="Q49" s="10"/>
      <c r="R49" s="10"/>
      <c r="S49" s="25"/>
    </row>
    <row r="50" spans="1:19" ht="15.75" customHeight="1">
      <c r="A50" s="25"/>
      <c r="B50" s="10" t="s">
        <v>26</v>
      </c>
      <c r="C50" s="10"/>
      <c r="D50" s="116"/>
      <c r="E50" s="117"/>
      <c r="F50" s="117"/>
      <c r="G50" s="117"/>
      <c r="H50" s="35"/>
      <c r="I50" s="35"/>
      <c r="J50" s="35"/>
      <c r="K50" s="118"/>
      <c r="L50" s="118"/>
      <c r="M50" s="10"/>
      <c r="N50" s="10"/>
      <c r="O50" s="10"/>
      <c r="P50" s="10"/>
      <c r="Q50" s="10"/>
      <c r="R50" s="10"/>
      <c r="S50" s="25"/>
    </row>
    <row r="51" spans="1:19" ht="12.75">
      <c r="A51" s="25"/>
      <c r="B51" s="10"/>
      <c r="C51" s="10"/>
      <c r="D51" s="39"/>
      <c r="E51" s="10"/>
      <c r="F51" s="10"/>
      <c r="G51" s="10"/>
      <c r="H51" s="36"/>
      <c r="I51" s="36"/>
      <c r="J51" s="36"/>
      <c r="K51" s="36"/>
      <c r="L51" s="36"/>
      <c r="M51" s="10"/>
      <c r="N51" s="10"/>
      <c r="O51" s="10"/>
      <c r="P51" s="10"/>
      <c r="Q51" s="10"/>
      <c r="R51" s="10"/>
      <c r="S51" s="25"/>
    </row>
    <row r="52" spans="1:19" ht="0.75" customHeight="1">
      <c r="A52" s="25"/>
      <c r="B52" s="10"/>
      <c r="C52" s="10"/>
      <c r="D52" s="39"/>
      <c r="E52" s="10"/>
      <c r="F52" s="10"/>
      <c r="G52" s="10"/>
      <c r="H52" s="119"/>
      <c r="I52" s="36"/>
      <c r="J52" s="36"/>
      <c r="K52" s="36"/>
      <c r="L52" s="36"/>
      <c r="M52" s="10"/>
      <c r="N52" s="10"/>
      <c r="O52" s="10"/>
      <c r="P52" s="10"/>
      <c r="Q52" s="10"/>
      <c r="R52" s="10"/>
      <c r="S52" s="25"/>
    </row>
    <row r="53" spans="1:19" ht="14.25" customHeight="1" hidden="1">
      <c r="A53" s="25"/>
      <c r="B53" s="10"/>
      <c r="C53" s="10"/>
      <c r="D53" s="39"/>
      <c r="E53" s="10"/>
      <c r="F53" s="10"/>
      <c r="G53" s="10"/>
      <c r="H53" s="36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13.5" customHeight="1" hidden="1">
      <c r="A54" s="25"/>
      <c r="B54" s="10"/>
      <c r="C54" s="10"/>
      <c r="D54" s="10"/>
      <c r="E54" s="10"/>
      <c r="F54" s="10"/>
      <c r="G54" s="10"/>
      <c r="H54" s="37"/>
      <c r="I54" s="37"/>
      <c r="J54" s="37"/>
      <c r="K54" s="37"/>
      <c r="L54" s="37"/>
      <c r="M54" s="10"/>
      <c r="N54" s="10"/>
      <c r="O54" s="10"/>
      <c r="P54" s="10"/>
      <c r="Q54" s="10"/>
      <c r="R54" s="10"/>
      <c r="S54" s="25"/>
    </row>
    <row r="55" spans="2:18" s="25" customFormat="1" ht="12.75" customHeight="1">
      <c r="B55" s="10" t="s">
        <v>14</v>
      </c>
      <c r="C55" s="39"/>
      <c r="D55" s="120"/>
      <c r="E55" s="121"/>
      <c r="F55" s="10"/>
      <c r="G55" s="10"/>
      <c r="H55" s="37"/>
      <c r="I55" s="37"/>
      <c r="J55" s="37"/>
      <c r="K55" s="37"/>
      <c r="L55" s="37"/>
      <c r="M55" s="10"/>
      <c r="N55" s="10"/>
      <c r="O55" s="10"/>
      <c r="P55" s="10"/>
      <c r="Q55" s="10"/>
      <c r="R55" s="10"/>
    </row>
    <row r="56" spans="1:18" s="25" customFormat="1" ht="9.75" customHeight="1">
      <c r="A56" s="122"/>
      <c r="B56" s="123" t="s">
        <v>20</v>
      </c>
      <c r="C56" s="10"/>
      <c r="D56" s="10"/>
      <c r="E56" s="124"/>
      <c r="F56" s="124"/>
      <c r="G56" s="125"/>
      <c r="H56" s="38"/>
      <c r="I56" s="38"/>
      <c r="J56" s="38"/>
      <c r="K56" s="38"/>
      <c r="L56" s="38"/>
      <c r="M56" s="10"/>
      <c r="N56" s="10"/>
      <c r="O56" s="10"/>
      <c r="P56" s="10"/>
      <c r="Q56" s="10"/>
      <c r="R56" s="10"/>
    </row>
    <row r="57" spans="2:18" s="25" customFormat="1" ht="12.75">
      <c r="B57" s="39"/>
      <c r="C57" s="10"/>
      <c r="D57" s="116"/>
      <c r="E57" s="38"/>
      <c r="F57" s="38"/>
      <c r="G57" s="38"/>
      <c r="H57" s="35"/>
      <c r="I57" s="35"/>
      <c r="J57" s="35"/>
      <c r="K57" s="35"/>
      <c r="L57" s="35"/>
      <c r="M57" s="10"/>
      <c r="N57" s="10"/>
      <c r="O57" s="10"/>
      <c r="P57" s="10"/>
      <c r="Q57" s="10"/>
      <c r="R57" s="10"/>
    </row>
    <row r="58" spans="2:18" s="25" customFormat="1" ht="12.75">
      <c r="B58" s="10"/>
      <c r="C58" s="10"/>
      <c r="D58" s="116"/>
      <c r="E58" s="38"/>
      <c r="F58" s="38"/>
      <c r="G58" s="38"/>
      <c r="H58" s="35"/>
      <c r="I58" s="35"/>
      <c r="J58" s="35"/>
      <c r="K58" s="35"/>
      <c r="L58" s="35"/>
      <c r="M58" s="10"/>
      <c r="N58" s="10"/>
      <c r="O58" s="10"/>
      <c r="P58" s="10"/>
      <c r="Q58" s="10"/>
      <c r="R58" s="10"/>
    </row>
    <row r="59" spans="2:18" s="25" customFormat="1" ht="12.75">
      <c r="B59" s="10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126"/>
      <c r="G61" s="126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1:18" s="25" customFormat="1" ht="18.75">
      <c r="A62" s="122"/>
      <c r="B62" s="122"/>
      <c r="C62" s="127"/>
      <c r="D62" s="127"/>
      <c r="E62" s="127"/>
      <c r="F62" s="127"/>
      <c r="G62" s="127"/>
      <c r="H62" s="39"/>
      <c r="I62" s="39"/>
      <c r="J62" s="39"/>
      <c r="K62" s="39"/>
      <c r="L62" s="39"/>
      <c r="M62" s="10"/>
      <c r="N62" s="10"/>
      <c r="O62" s="10"/>
      <c r="P62" s="10"/>
      <c r="Q62" s="10"/>
      <c r="R62" s="10"/>
    </row>
    <row r="63" spans="2:18" s="25" customFormat="1" ht="12.75">
      <c r="B63" s="10"/>
      <c r="C63" s="10"/>
      <c r="D63" s="116"/>
      <c r="E63" s="38"/>
      <c r="F63" s="38"/>
      <c r="G63" s="38"/>
      <c r="H63" s="35"/>
      <c r="I63" s="35"/>
      <c r="J63" s="35"/>
      <c r="K63" s="35"/>
      <c r="L63" s="35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1:18" s="25" customFormat="1" ht="18.75">
      <c r="A66" s="128"/>
      <c r="B66" s="10"/>
      <c r="C66" s="10"/>
      <c r="D66" s="10"/>
      <c r="E66" s="125"/>
      <c r="F66" s="125"/>
      <c r="G66" s="125"/>
      <c r="H66" s="38"/>
      <c r="I66" s="38"/>
      <c r="J66" s="38"/>
      <c r="K66" s="38"/>
      <c r="L66" s="38"/>
      <c r="M66" s="10"/>
      <c r="N66" s="10"/>
      <c r="O66" s="10"/>
      <c r="P66" s="10"/>
      <c r="Q66" s="10"/>
      <c r="R66" s="10"/>
    </row>
    <row r="67" spans="2:18" s="25" customFormat="1" ht="12.75">
      <c r="B67" s="10"/>
      <c r="C67" s="10"/>
      <c r="D67" s="116"/>
      <c r="E67" s="117"/>
      <c r="F67" s="129"/>
      <c r="G67" s="129"/>
      <c r="H67" s="35"/>
      <c r="I67" s="35"/>
      <c r="J67" s="35"/>
      <c r="K67" s="35"/>
      <c r="L67" s="35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117"/>
      <c r="F68" s="129"/>
      <c r="G68" s="129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1:18" s="25" customFormat="1" ht="18.75">
      <c r="A70" s="122"/>
      <c r="B70" s="122"/>
      <c r="C70" s="122"/>
      <c r="D70" s="122"/>
      <c r="E70" s="122"/>
      <c r="F70" s="122"/>
      <c r="G70" s="130"/>
      <c r="H70" s="131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2:18" s="25" customFormat="1" ht="12.75"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16"/>
      <c r="E72" s="117"/>
      <c r="F72" s="117"/>
      <c r="G72" s="117"/>
      <c r="H72" s="35"/>
      <c r="I72" s="35"/>
      <c r="J72" s="35"/>
      <c r="K72" s="118"/>
      <c r="L72" s="118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39"/>
      <c r="E73" s="10"/>
      <c r="F73" s="10"/>
      <c r="G73" s="10"/>
      <c r="H73" s="36"/>
      <c r="I73" s="36"/>
      <c r="J73" s="36"/>
      <c r="K73" s="36"/>
      <c r="L73" s="36"/>
      <c r="M73" s="10"/>
      <c r="N73" s="10"/>
      <c r="O73" s="10"/>
      <c r="Q73" s="10"/>
      <c r="R73" s="10"/>
    </row>
    <row r="74" s="25" customFormat="1" ht="12.75">
      <c r="P74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5"/>
  <sheetViews>
    <sheetView zoomScalePageLayoutView="0" workbookViewId="0" topLeftCell="A40">
      <pane xSplit="21165" topLeftCell="O1" activePane="topLeft" state="split"/>
      <selection pane="topLeft" activeCell="G60" sqref="G60"/>
      <selection pane="topRight" activeCell="O37" sqref="O37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83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85</v>
      </c>
      <c r="J8" s="11" t="s">
        <v>86</v>
      </c>
      <c r="K8" s="11" t="s">
        <v>87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</f>
        <v>10170.48</v>
      </c>
      <c r="P25" s="7">
        <f>2939.37+2605.66+2437.55+2605.66</f>
        <v>10588.24</v>
      </c>
      <c r="Q25" s="6">
        <f t="shared" si="2"/>
        <v>2521.6099999999988</v>
      </c>
      <c r="R25" s="48">
        <f t="shared" si="3"/>
        <v>841521.61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</f>
        <v>26474.760000000002</v>
      </c>
      <c r="P26" s="7">
        <f>7651.48+6782.79+6345.19+6782.79</f>
        <v>27562.25</v>
      </c>
      <c r="Q26" s="6">
        <f t="shared" si="2"/>
        <v>6563.990000000005</v>
      </c>
      <c r="R26" s="48">
        <f t="shared" si="3"/>
        <v>2190563.9899999998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</f>
        <v>2880000</v>
      </c>
      <c r="K27" s="53">
        <f t="shared" si="0"/>
        <v>2470000</v>
      </c>
      <c r="L27" s="47">
        <f t="shared" si="1"/>
        <v>2470000</v>
      </c>
      <c r="M27" s="7"/>
      <c r="N27" s="7">
        <v>12495.55</v>
      </c>
      <c r="O27" s="5">
        <f>16068.36+12598.02+11532.07+8820.12</f>
        <v>49018.57</v>
      </c>
      <c r="P27" s="7">
        <f>12495.55+16068.36+12598.02+11532.07</f>
        <v>52694</v>
      </c>
      <c r="Q27" s="6">
        <f t="shared" si="2"/>
        <v>8820.119999999995</v>
      </c>
      <c r="R27" s="48">
        <f t="shared" si="3"/>
        <v>2478820.1199999996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</f>
        <v>3640000</v>
      </c>
      <c r="K28" s="53">
        <f t="shared" si="0"/>
        <v>6360000</v>
      </c>
      <c r="L28" s="47">
        <f t="shared" si="1"/>
        <v>6360000</v>
      </c>
      <c r="M28" s="7"/>
      <c r="N28" s="7">
        <v>23356.16</v>
      </c>
      <c r="O28" s="5">
        <f>29871.58+24494.76+24036.92+20664.76</f>
        <v>99068.01999999999</v>
      </c>
      <c r="P28" s="7">
        <f>23356.16+29871.58+24494.76+24036.92</f>
        <v>101759.42</v>
      </c>
      <c r="Q28" s="6">
        <f t="shared" si="2"/>
        <v>20664.759999999995</v>
      </c>
      <c r="R28" s="48">
        <f t="shared" si="3"/>
        <v>6380664.76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</f>
        <v>2104000</v>
      </c>
      <c r="K29" s="53">
        <f t="shared" si="0"/>
        <v>7896000</v>
      </c>
      <c r="L29" s="47">
        <f t="shared" si="1"/>
        <v>7896000</v>
      </c>
      <c r="M29" s="7"/>
      <c r="N29" s="7">
        <v>23356.16</v>
      </c>
      <c r="O29" s="5">
        <f>30371.7+26418.27+26999.14+24627.2</f>
        <v>108416.31</v>
      </c>
      <c r="P29" s="7">
        <f>23356.16+30371.7+26418.27+26999.14</f>
        <v>107145.27</v>
      </c>
      <c r="Q29" s="6">
        <f t="shared" si="2"/>
        <v>24627.199999999997</v>
      </c>
      <c r="R29" s="48">
        <f t="shared" si="3"/>
        <v>7920627.2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</f>
        <v>1556000</v>
      </c>
      <c r="K30" s="53">
        <f t="shared" si="0"/>
        <v>5444000</v>
      </c>
      <c r="L30" s="47">
        <f t="shared" si="1"/>
        <v>5444000</v>
      </c>
      <c r="M30" s="7"/>
      <c r="N30" s="7">
        <v>16349.32</v>
      </c>
      <c r="O30" s="5">
        <f>21233.1+18388.6+18738.94+17024.41</f>
        <v>75385.05</v>
      </c>
      <c r="P30" s="7">
        <f>16349.32+21233.1+18388.6+18738.94</f>
        <v>74709.95999999999</v>
      </c>
      <c r="Q30" s="6">
        <f t="shared" si="2"/>
        <v>17024.410000000003</v>
      </c>
      <c r="R30" s="48">
        <f t="shared" si="3"/>
        <v>5461024.41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</f>
        <v>72732.9</v>
      </c>
      <c r="P31" s="94">
        <f>14013.7+18634.05+17431.85+18634.05</f>
        <v>68713.65</v>
      </c>
      <c r="Q31" s="6">
        <f t="shared" si="2"/>
        <v>18032.949999999997</v>
      </c>
      <c r="R31" s="48">
        <f t="shared" si="3"/>
        <v>6018032.95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</f>
        <v>121221.51</v>
      </c>
      <c r="P32" s="135">
        <f>23356.16+31056.75+29053.09+31056.75</f>
        <v>114522.75</v>
      </c>
      <c r="Q32" s="6">
        <f t="shared" si="2"/>
        <v>30054.919999999984</v>
      </c>
      <c r="R32" s="48">
        <f t="shared" si="3"/>
        <v>10030054.92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</f>
        <v>121221.51</v>
      </c>
      <c r="P33" s="94">
        <f>23356.16+31056.75+29053.09+31056.75</f>
        <v>114522.75</v>
      </c>
      <c r="Q33" s="6">
        <f t="shared" si="2"/>
        <v>30054.919999999984</v>
      </c>
      <c r="R33" s="48">
        <f t="shared" si="3"/>
        <v>10030054.92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</f>
        <v>78793.98999999999</v>
      </c>
      <c r="P35" s="140">
        <f>15181.51+20186.89+18884.51+20186.89</f>
        <v>74439.8</v>
      </c>
      <c r="Q35" s="32">
        <f t="shared" si="2"/>
        <v>19535.699999999983</v>
      </c>
      <c r="R35" s="32">
        <f t="shared" si="3"/>
        <v>6519535.7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</f>
        <v>150314.67</v>
      </c>
      <c r="P36" s="140">
        <f>7473.97+38510.37+36025.83+38510.37</f>
        <v>120520.54000000001</v>
      </c>
      <c r="Q36" s="32">
        <f t="shared" si="2"/>
        <v>37268.100000000006</v>
      </c>
      <c r="R36" s="32">
        <f t="shared" si="3"/>
        <v>12437268.100000001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thickBot="1">
      <c r="A37" s="95" t="s">
        <v>21</v>
      </c>
      <c r="B37" s="18"/>
      <c r="C37" s="18"/>
      <c r="D37" s="96"/>
      <c r="E37" s="97"/>
      <c r="F37" s="98"/>
      <c r="G37" s="98"/>
      <c r="H37" s="136">
        <f>H23+H24+H25+H26+H27+H28+H29+H30+H31+H32+H33+H34+H35+H36</f>
        <v>80273000</v>
      </c>
      <c r="I37" s="136">
        <f aca="true" t="shared" si="4" ref="I37:S37">I23+I24+I25+I26+I27+I28+I29+I30+I31+I32+I33+I34+I35+I36</f>
        <v>0</v>
      </c>
      <c r="J37" s="136">
        <f t="shared" si="4"/>
        <v>10180000</v>
      </c>
      <c r="K37" s="136">
        <f t="shared" si="4"/>
        <v>70093000</v>
      </c>
      <c r="L37" s="136">
        <f t="shared" si="4"/>
        <v>70093000</v>
      </c>
      <c r="M37" s="136">
        <f t="shared" si="4"/>
        <v>0</v>
      </c>
      <c r="N37" s="136">
        <f t="shared" si="4"/>
        <v>176423.22</v>
      </c>
      <c r="O37" s="136">
        <f t="shared" si="4"/>
        <v>912817.77</v>
      </c>
      <c r="P37" s="136">
        <f t="shared" si="4"/>
        <v>874072.3100000002</v>
      </c>
      <c r="Q37" s="136">
        <f t="shared" si="4"/>
        <v>215168.67999999993</v>
      </c>
      <c r="R37" s="136">
        <f t="shared" si="4"/>
        <v>70308168.68</v>
      </c>
      <c r="S37" s="136">
        <f t="shared" si="4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19" ht="16.5" customHeight="1" thickBot="1">
      <c r="A38" s="141" t="s">
        <v>19</v>
      </c>
      <c r="B38" s="142" t="s">
        <v>23</v>
      </c>
      <c r="C38" s="142"/>
      <c r="D38" s="142"/>
      <c r="E38" s="142"/>
      <c r="F38" s="142"/>
      <c r="G38" s="20"/>
      <c r="H38" s="10"/>
      <c r="I38" s="10"/>
      <c r="J38" s="10"/>
      <c r="K38" s="10"/>
      <c r="L38" s="99"/>
      <c r="M38" s="10"/>
      <c r="N38" s="10"/>
      <c r="O38" s="10"/>
      <c r="P38" s="146"/>
      <c r="Q38" s="10"/>
      <c r="R38" s="147"/>
      <c r="S38" s="25"/>
    </row>
    <row r="39" spans="1:19" ht="69" customHeight="1">
      <c r="A39" s="144">
        <v>1</v>
      </c>
      <c r="B39" s="42" t="s">
        <v>23</v>
      </c>
      <c r="C39" s="145" t="s">
        <v>60</v>
      </c>
      <c r="D39" s="132" t="s">
        <v>61</v>
      </c>
      <c r="E39" s="17">
        <v>9000000</v>
      </c>
      <c r="F39" s="132" t="s">
        <v>68</v>
      </c>
      <c r="G39" s="133" t="s">
        <v>28</v>
      </c>
      <c r="H39" s="3">
        <v>9000000</v>
      </c>
      <c r="I39" s="156"/>
      <c r="J39" s="3"/>
      <c r="K39" s="6">
        <f>H39+I39-J39</f>
        <v>9000000</v>
      </c>
      <c r="L39" s="6">
        <f>K39</f>
        <v>9000000</v>
      </c>
      <c r="M39" s="3"/>
      <c r="N39" s="3">
        <v>0</v>
      </c>
      <c r="O39" s="3">
        <f>302459.01+144836.07+140163.93</f>
        <v>587459.01</v>
      </c>
      <c r="P39" s="17">
        <f>156270.49+146188.52+144836.07+140163.93</f>
        <v>587459.01</v>
      </c>
      <c r="Q39" s="6">
        <f>N39+O39-P39</f>
        <v>0</v>
      </c>
      <c r="R39" s="6">
        <f>K39+N39+O39-P39</f>
        <v>9000000</v>
      </c>
      <c r="S39" s="25"/>
    </row>
    <row r="40" spans="1:19" ht="69" customHeight="1">
      <c r="A40" s="152">
        <v>2</v>
      </c>
      <c r="B40" s="42" t="s">
        <v>23</v>
      </c>
      <c r="C40" s="145" t="s">
        <v>66</v>
      </c>
      <c r="D40" s="132" t="s">
        <v>61</v>
      </c>
      <c r="E40" s="17">
        <v>5000000</v>
      </c>
      <c r="F40" s="132" t="s">
        <v>67</v>
      </c>
      <c r="G40" s="133" t="s">
        <v>28</v>
      </c>
      <c r="H40" s="3">
        <v>5000000</v>
      </c>
      <c r="I40" s="156"/>
      <c r="J40" s="3"/>
      <c r="K40" s="6">
        <f>H40+I40-J40</f>
        <v>5000000</v>
      </c>
      <c r="L40" s="6">
        <f>K40</f>
        <v>5000000</v>
      </c>
      <c r="M40" s="3"/>
      <c r="N40" s="3">
        <v>0</v>
      </c>
      <c r="O40" s="3">
        <f>134426.23+69453.55+67213.11</f>
        <v>271092.89</v>
      </c>
      <c r="P40" s="17">
        <f>69453.55+64972.68+69453.55+67213.11</f>
        <v>271092.89</v>
      </c>
      <c r="Q40" s="6">
        <f>N40+O40-P40</f>
        <v>0</v>
      </c>
      <c r="R40" s="6">
        <f>K40+N40+O40-P40</f>
        <v>5000000</v>
      </c>
      <c r="S40" s="25"/>
    </row>
    <row r="41" spans="1:19" ht="69" customHeight="1">
      <c r="A41" s="152">
        <v>2</v>
      </c>
      <c r="B41" s="42" t="s">
        <v>23</v>
      </c>
      <c r="C41" s="145" t="s">
        <v>84</v>
      </c>
      <c r="D41" s="132" t="s">
        <v>61</v>
      </c>
      <c r="E41" s="17"/>
      <c r="F41" s="132" t="s">
        <v>122</v>
      </c>
      <c r="G41" s="133" t="s">
        <v>28</v>
      </c>
      <c r="H41" s="3"/>
      <c r="I41" s="156">
        <v>10000000</v>
      </c>
      <c r="J41" s="3"/>
      <c r="K41" s="6">
        <f>H41+I41-J41</f>
        <v>10000000</v>
      </c>
      <c r="L41" s="6">
        <f>K41</f>
        <v>10000000</v>
      </c>
      <c r="M41" s="3"/>
      <c r="N41" s="3">
        <v>0</v>
      </c>
      <c r="O41" s="3">
        <v>110420.77</v>
      </c>
      <c r="P41" s="17">
        <v>110420.77</v>
      </c>
      <c r="Q41" s="6">
        <f>N41+O41-P41</f>
        <v>0</v>
      </c>
      <c r="R41" s="6">
        <f>K41+N41+O41-P41</f>
        <v>10000000</v>
      </c>
      <c r="S41" s="25"/>
    </row>
    <row r="42" spans="1:19" ht="16.5" customHeight="1" thickBot="1">
      <c r="A42" s="95" t="s">
        <v>21</v>
      </c>
      <c r="B42" s="143"/>
      <c r="C42" s="143"/>
      <c r="D42" s="14"/>
      <c r="E42" s="14"/>
      <c r="F42" s="14"/>
      <c r="G42" s="14"/>
      <c r="H42" s="1">
        <f>H39+H40+H41</f>
        <v>14000000</v>
      </c>
      <c r="I42" s="1">
        <f aca="true" t="shared" si="5" ref="I42:S42">I39+I40+I41</f>
        <v>10000000</v>
      </c>
      <c r="J42" s="1">
        <f t="shared" si="5"/>
        <v>0</v>
      </c>
      <c r="K42" s="1">
        <f t="shared" si="5"/>
        <v>24000000</v>
      </c>
      <c r="L42" s="1">
        <f t="shared" si="5"/>
        <v>24000000</v>
      </c>
      <c r="M42" s="1">
        <f t="shared" si="5"/>
        <v>0</v>
      </c>
      <c r="N42" s="1">
        <f t="shared" si="5"/>
        <v>0</v>
      </c>
      <c r="O42" s="1">
        <f t="shared" si="5"/>
        <v>968972.67</v>
      </c>
      <c r="P42" s="1">
        <f t="shared" si="5"/>
        <v>968972.67</v>
      </c>
      <c r="Q42" s="1">
        <f t="shared" si="5"/>
        <v>0</v>
      </c>
      <c r="R42" s="1">
        <f t="shared" si="5"/>
        <v>24000000</v>
      </c>
      <c r="S42" s="1">
        <f t="shared" si="5"/>
        <v>0</v>
      </c>
    </row>
    <row r="43" spans="1:35" s="83" customFormat="1" ht="18" customHeight="1" thickBot="1">
      <c r="A43" s="101" t="s">
        <v>5</v>
      </c>
      <c r="B43" s="102" t="s">
        <v>22</v>
      </c>
      <c r="C43" s="102"/>
      <c r="D43" s="148"/>
      <c r="E43" s="148"/>
      <c r="F43" s="148"/>
      <c r="G43" s="148"/>
      <c r="H43" s="148"/>
      <c r="I43" s="143"/>
      <c r="J43" s="143"/>
      <c r="K43" s="143"/>
      <c r="L43" s="143"/>
      <c r="M43" s="143"/>
      <c r="N43" s="143"/>
      <c r="O43" s="143"/>
      <c r="P43" s="151"/>
      <c r="Q43" s="143"/>
      <c r="R43" s="149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83" customFormat="1" ht="69.75" customHeight="1" hidden="1">
      <c r="A44" s="101"/>
      <c r="B44" s="103"/>
      <c r="C44" s="104"/>
      <c r="D44" s="104"/>
      <c r="E44" s="105"/>
      <c r="F44" s="104"/>
      <c r="G44" s="46"/>
      <c r="H44" s="62"/>
      <c r="I44" s="62"/>
      <c r="J44" s="33"/>
      <c r="K44" s="62"/>
      <c r="L44" s="32"/>
      <c r="M44" s="21"/>
      <c r="N44" s="21"/>
      <c r="O44" s="21"/>
      <c r="P44" s="150"/>
      <c r="Q44" s="62"/>
      <c r="R44" s="62"/>
      <c r="S44" s="82"/>
      <c r="T44" s="106"/>
      <c r="U44" s="106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83" customFormat="1" ht="18" customHeight="1" thickBot="1">
      <c r="A45" s="107" t="s">
        <v>21</v>
      </c>
      <c r="B45" s="108"/>
      <c r="C45" s="109"/>
      <c r="D45" s="109"/>
      <c r="E45" s="110"/>
      <c r="F45" s="111"/>
      <c r="G45" s="104"/>
      <c r="H45" s="34">
        <f>H44</f>
        <v>0</v>
      </c>
      <c r="I45" s="34">
        <f>I44</f>
        <v>0</v>
      </c>
      <c r="J45" s="34">
        <f>J44</f>
        <v>0</v>
      </c>
      <c r="K45" s="34">
        <f>K44</f>
        <v>0</v>
      </c>
      <c r="L45" s="34">
        <f>L44</f>
        <v>0</v>
      </c>
      <c r="M45" s="22">
        <v>3</v>
      </c>
      <c r="N45" s="22">
        <v>0</v>
      </c>
      <c r="O45" s="22">
        <v>0</v>
      </c>
      <c r="P45" s="22">
        <v>0</v>
      </c>
      <c r="Q45" s="34">
        <f>K45</f>
        <v>0</v>
      </c>
      <c r="R45" s="34">
        <f>Q45</f>
        <v>0</v>
      </c>
      <c r="S45" s="82"/>
      <c r="T45" s="11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20" ht="16.5" customHeight="1" thickBot="1">
      <c r="A46" s="113"/>
      <c r="B46" s="20" t="s">
        <v>16</v>
      </c>
      <c r="C46" s="19"/>
      <c r="D46" s="19"/>
      <c r="E46" s="19"/>
      <c r="F46" s="100"/>
      <c r="G46" s="114"/>
      <c r="H46" s="23">
        <f>H37+H44+H42</f>
        <v>94273000</v>
      </c>
      <c r="I46" s="23">
        <f aca="true" t="shared" si="6" ref="I46:R46">I37+I44+I42</f>
        <v>10000000</v>
      </c>
      <c r="J46" s="23">
        <f t="shared" si="6"/>
        <v>10180000</v>
      </c>
      <c r="K46" s="23">
        <f t="shared" si="6"/>
        <v>94093000</v>
      </c>
      <c r="L46" s="23">
        <f t="shared" si="6"/>
        <v>94093000</v>
      </c>
      <c r="M46" s="23">
        <f t="shared" si="6"/>
        <v>0</v>
      </c>
      <c r="N46" s="23">
        <f t="shared" si="6"/>
        <v>176423.22</v>
      </c>
      <c r="O46" s="23">
        <f t="shared" si="6"/>
        <v>1881790.44</v>
      </c>
      <c r="P46" s="23">
        <f t="shared" si="6"/>
        <v>1843044.9800000002</v>
      </c>
      <c r="Q46" s="23">
        <f t="shared" si="6"/>
        <v>215168.67999999993</v>
      </c>
      <c r="R46" s="23">
        <f t="shared" si="6"/>
        <v>94308168.68</v>
      </c>
      <c r="S46" s="25"/>
      <c r="T46" s="115"/>
    </row>
    <row r="47" spans="1:19" ht="16.5" customHeight="1">
      <c r="A47" s="25"/>
      <c r="B47" s="82"/>
      <c r="C47" s="10"/>
      <c r="D47" s="10"/>
      <c r="E47" s="10"/>
      <c r="F47" s="10"/>
      <c r="G47" s="10"/>
      <c r="H47" s="24"/>
      <c r="I47" s="24"/>
      <c r="J47" s="24"/>
      <c r="K47" s="24"/>
      <c r="L47" s="24"/>
      <c r="M47" s="40"/>
      <c r="N47" s="24"/>
      <c r="O47" s="24"/>
      <c r="P47" s="24"/>
      <c r="Q47" s="24"/>
      <c r="R47" s="24"/>
      <c r="S47" s="25"/>
    </row>
    <row r="48" spans="1:19" ht="16.5" customHeight="1">
      <c r="A48" s="25"/>
      <c r="B48" s="10" t="s">
        <v>38</v>
      </c>
      <c r="C48" s="10"/>
      <c r="D48" s="10"/>
      <c r="E48" s="10"/>
      <c r="F48" s="10"/>
      <c r="G48" s="10"/>
      <c r="H48" s="24" t="s">
        <v>47</v>
      </c>
      <c r="I48" s="24"/>
      <c r="J48" s="24"/>
      <c r="K48" s="24"/>
      <c r="L48" s="24"/>
      <c r="M48" s="40"/>
      <c r="N48" s="24"/>
      <c r="O48" s="24"/>
      <c r="P48" s="40"/>
      <c r="Q48" s="24"/>
      <c r="R48" s="24"/>
      <c r="S48" s="25"/>
    </row>
    <row r="49" spans="1:19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4"/>
      <c r="Q49" s="10"/>
      <c r="R49" s="10"/>
      <c r="S49" s="25"/>
    </row>
    <row r="50" spans="1:19" ht="15.75" customHeight="1">
      <c r="A50" s="25"/>
      <c r="B50" s="10" t="s">
        <v>27</v>
      </c>
      <c r="C50" s="10"/>
      <c r="D50" s="116"/>
      <c r="E50" s="117"/>
      <c r="F50" s="117"/>
      <c r="G50" s="117"/>
      <c r="H50" s="35" t="s">
        <v>74</v>
      </c>
      <c r="I50" s="35"/>
      <c r="J50" s="35"/>
      <c r="K50" s="35"/>
      <c r="L50" s="35"/>
      <c r="M50" s="10"/>
      <c r="N50" s="10"/>
      <c r="O50" s="10"/>
      <c r="P50" s="10"/>
      <c r="Q50" s="10"/>
      <c r="R50" s="10"/>
      <c r="S50" s="25"/>
    </row>
    <row r="51" spans="1:19" ht="15.75" customHeight="1">
      <c r="A51" s="25"/>
      <c r="B51" s="10" t="s">
        <v>26</v>
      </c>
      <c r="C51" s="10"/>
      <c r="D51" s="116"/>
      <c r="E51" s="117"/>
      <c r="F51" s="117"/>
      <c r="G51" s="117"/>
      <c r="H51" s="35"/>
      <c r="I51" s="35"/>
      <c r="J51" s="35"/>
      <c r="K51" s="118"/>
      <c r="L51" s="118"/>
      <c r="M51" s="10"/>
      <c r="N51" s="10"/>
      <c r="O51" s="10"/>
      <c r="P51" s="10"/>
      <c r="Q51" s="10"/>
      <c r="R51" s="10"/>
      <c r="S51" s="25"/>
    </row>
    <row r="52" spans="1:19" ht="12.75">
      <c r="A52" s="25"/>
      <c r="B52" s="10"/>
      <c r="C52" s="10"/>
      <c r="D52" s="39"/>
      <c r="E52" s="10"/>
      <c r="F52" s="10"/>
      <c r="G52" s="10"/>
      <c r="H52" s="36"/>
      <c r="I52" s="36"/>
      <c r="J52" s="36"/>
      <c r="K52" s="36"/>
      <c r="L52" s="36"/>
      <c r="M52" s="10"/>
      <c r="N52" s="10"/>
      <c r="O52" s="10"/>
      <c r="P52" s="10"/>
      <c r="Q52" s="10"/>
      <c r="R52" s="10"/>
      <c r="S52" s="25"/>
    </row>
    <row r="53" spans="1:19" ht="0.75" customHeight="1">
      <c r="A53" s="25"/>
      <c r="B53" s="10"/>
      <c r="C53" s="10"/>
      <c r="D53" s="39"/>
      <c r="E53" s="10"/>
      <c r="F53" s="10"/>
      <c r="G53" s="10"/>
      <c r="H53" s="119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14.25" customHeight="1" hidden="1">
      <c r="A54" s="25"/>
      <c r="B54" s="10"/>
      <c r="C54" s="10"/>
      <c r="D54" s="39"/>
      <c r="E54" s="10"/>
      <c r="F54" s="10"/>
      <c r="G54" s="10"/>
      <c r="H54" s="36"/>
      <c r="I54" s="36"/>
      <c r="J54" s="36"/>
      <c r="K54" s="36"/>
      <c r="L54" s="36"/>
      <c r="M54" s="10"/>
      <c r="N54" s="10"/>
      <c r="O54" s="10"/>
      <c r="P54" s="10"/>
      <c r="Q54" s="10"/>
      <c r="R54" s="10"/>
      <c r="S54" s="25"/>
    </row>
    <row r="55" spans="1:19" ht="13.5" customHeight="1" hidden="1">
      <c r="A55" s="25"/>
      <c r="B55" s="10"/>
      <c r="C55" s="10"/>
      <c r="D55" s="10"/>
      <c r="E55" s="10"/>
      <c r="F55" s="10"/>
      <c r="G55" s="10"/>
      <c r="H55" s="37"/>
      <c r="I55" s="37"/>
      <c r="J55" s="37"/>
      <c r="K55" s="37"/>
      <c r="L55" s="37"/>
      <c r="M55" s="10"/>
      <c r="N55" s="10"/>
      <c r="O55" s="10"/>
      <c r="P55" s="10"/>
      <c r="Q55" s="10"/>
      <c r="R55" s="10"/>
      <c r="S55" s="25"/>
    </row>
    <row r="56" spans="2:18" s="25" customFormat="1" ht="12.75" customHeight="1">
      <c r="B56" s="10" t="s">
        <v>14</v>
      </c>
      <c r="C56" s="39"/>
      <c r="D56" s="120"/>
      <c r="E56" s="121"/>
      <c r="F56" s="10"/>
      <c r="G56" s="10"/>
      <c r="H56" s="37"/>
      <c r="I56" s="37"/>
      <c r="J56" s="37"/>
      <c r="K56" s="37"/>
      <c r="L56" s="37"/>
      <c r="M56" s="10"/>
      <c r="N56" s="10"/>
      <c r="O56" s="10"/>
      <c r="P56" s="10"/>
      <c r="Q56" s="10"/>
      <c r="R56" s="10"/>
    </row>
    <row r="57" spans="1:18" s="25" customFormat="1" ht="9.75" customHeight="1">
      <c r="A57" s="122"/>
      <c r="B57" s="123" t="s">
        <v>20</v>
      </c>
      <c r="C57" s="10"/>
      <c r="D57" s="10"/>
      <c r="E57" s="124"/>
      <c r="F57" s="124"/>
      <c r="G57" s="125"/>
      <c r="H57" s="38"/>
      <c r="I57" s="38"/>
      <c r="J57" s="38"/>
      <c r="K57" s="38"/>
      <c r="L57" s="38"/>
      <c r="M57" s="10"/>
      <c r="N57" s="10"/>
      <c r="O57" s="10"/>
      <c r="P57" s="10"/>
      <c r="Q57" s="10"/>
      <c r="R57" s="10"/>
    </row>
    <row r="58" spans="2:18" s="25" customFormat="1" ht="12.75">
      <c r="B58" s="39"/>
      <c r="C58" s="10"/>
      <c r="D58" s="116"/>
      <c r="E58" s="38"/>
      <c r="F58" s="38"/>
      <c r="G58" s="38"/>
      <c r="H58" s="35"/>
      <c r="I58" s="35"/>
      <c r="J58" s="35"/>
      <c r="K58" s="35"/>
      <c r="L58" s="35"/>
      <c r="M58" s="10"/>
      <c r="N58" s="10"/>
      <c r="O58" s="10"/>
      <c r="P58" s="10"/>
      <c r="Q58" s="10"/>
      <c r="R58" s="10"/>
    </row>
    <row r="59" spans="2:18" s="25" customFormat="1" ht="12.75">
      <c r="B59" s="10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126"/>
      <c r="G62" s="126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1:18" s="25" customFormat="1" ht="18.75">
      <c r="A63" s="122"/>
      <c r="B63" s="122"/>
      <c r="C63" s="127"/>
      <c r="D63" s="127"/>
      <c r="E63" s="127"/>
      <c r="F63" s="127"/>
      <c r="G63" s="127"/>
      <c r="H63" s="39"/>
      <c r="I63" s="39"/>
      <c r="J63" s="39"/>
      <c r="K63" s="39"/>
      <c r="L63" s="39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1:18" s="25" customFormat="1" ht="18.75">
      <c r="A67" s="128"/>
      <c r="B67" s="10"/>
      <c r="C67" s="10"/>
      <c r="D67" s="10"/>
      <c r="E67" s="125"/>
      <c r="F67" s="125"/>
      <c r="G67" s="125"/>
      <c r="H67" s="38"/>
      <c r="I67" s="38"/>
      <c r="J67" s="38"/>
      <c r="K67" s="38"/>
      <c r="L67" s="38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117"/>
      <c r="F68" s="129"/>
      <c r="G68" s="129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117"/>
      <c r="F70" s="129"/>
      <c r="G70" s="129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1:18" s="25" customFormat="1" ht="18.75">
      <c r="A71" s="122"/>
      <c r="B71" s="122"/>
      <c r="C71" s="122"/>
      <c r="D71" s="122"/>
      <c r="E71" s="122"/>
      <c r="F71" s="122"/>
      <c r="G71" s="130"/>
      <c r="H71" s="131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117"/>
      <c r="F73" s="117"/>
      <c r="G73" s="117"/>
      <c r="H73" s="35"/>
      <c r="I73" s="35"/>
      <c r="J73" s="35"/>
      <c r="K73" s="118"/>
      <c r="L73" s="118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39"/>
      <c r="E74" s="10"/>
      <c r="F74" s="10"/>
      <c r="G74" s="10"/>
      <c r="H74" s="36"/>
      <c r="I74" s="36"/>
      <c r="J74" s="36"/>
      <c r="K74" s="36"/>
      <c r="L74" s="36"/>
      <c r="M74" s="10"/>
      <c r="N74" s="10"/>
      <c r="O74" s="10"/>
      <c r="Q74" s="10"/>
      <c r="R74" s="10"/>
    </row>
    <row r="75" s="25" customFormat="1" ht="12.75">
      <c r="P75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5"/>
  <sheetViews>
    <sheetView zoomScalePageLayoutView="0" workbookViewId="0" topLeftCell="A41">
      <selection activeCell="G59" sqref="G59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9"/>
      <c r="Q6" s="9"/>
      <c r="R6" s="10"/>
    </row>
    <row r="7" spans="1:19" ht="17.25" customHeight="1" thickBot="1">
      <c r="A7" s="25"/>
      <c r="B7" s="10"/>
      <c r="C7" s="10"/>
      <c r="D7" s="64" t="s">
        <v>88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89</v>
      </c>
      <c r="J8" s="11" t="s">
        <v>90</v>
      </c>
      <c r="K8" s="11" t="s">
        <v>91</v>
      </c>
      <c r="L8" s="11" t="s">
        <v>18</v>
      </c>
      <c r="M8" s="67" t="s">
        <v>10</v>
      </c>
      <c r="N8" s="11" t="s">
        <v>29</v>
      </c>
      <c r="O8" s="11" t="s">
        <v>31</v>
      </c>
      <c r="P8" s="1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3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5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7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7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</f>
        <v>12776.14</v>
      </c>
      <c r="P25" s="7">
        <f>2939.37+2605.66+2437.55+2605.66+2521.61</f>
        <v>13109.85</v>
      </c>
      <c r="Q25" s="6">
        <f t="shared" si="2"/>
        <v>2605.659999999998</v>
      </c>
      <c r="R25" s="48">
        <f t="shared" si="3"/>
        <v>841605.66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</f>
        <v>33257.55</v>
      </c>
      <c r="P26" s="7">
        <f>7651.48+6782.79+6345.19+6782.79+6563.99</f>
        <v>34126.24</v>
      </c>
      <c r="Q26" s="6">
        <f t="shared" si="2"/>
        <v>6782.790000000001</v>
      </c>
      <c r="R26" s="48">
        <f t="shared" si="3"/>
        <v>2190782.7899999996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</f>
        <v>55539.49</v>
      </c>
      <c r="P27" s="7">
        <f>12495.55+16068.36+12598.02+11532.07+8820.12</f>
        <v>61514.12</v>
      </c>
      <c r="Q27" s="6">
        <f t="shared" si="2"/>
        <v>6520.919999999991</v>
      </c>
      <c r="R27" s="48">
        <f t="shared" si="3"/>
        <v>1656520.92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</f>
        <v>117543.77999999998</v>
      </c>
      <c r="P28" s="7">
        <f>23356.16+29871.58+24494.76+24036.92+20664.76</f>
        <v>122424.18</v>
      </c>
      <c r="Q28" s="6">
        <f t="shared" si="2"/>
        <v>18475.75999999998</v>
      </c>
      <c r="R28" s="48">
        <f t="shared" si="3"/>
        <v>5468475.760000001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</f>
        <v>131832.09</v>
      </c>
      <c r="P29" s="7">
        <f>23356.16+30371.7+26418.27+26999.14+24627.2</f>
        <v>131772.47</v>
      </c>
      <c r="Q29" s="6">
        <f t="shared" si="2"/>
        <v>23415.78</v>
      </c>
      <c r="R29" s="48">
        <f t="shared" si="3"/>
        <v>7130415.78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</f>
        <v>91746.75</v>
      </c>
      <c r="P30" s="7">
        <f>16349.32+21233.1+18388.6+18738.94+17024.41</f>
        <v>91734.37</v>
      </c>
      <c r="Q30" s="6">
        <f t="shared" si="2"/>
        <v>16361.700000000012</v>
      </c>
      <c r="R30" s="48">
        <f t="shared" si="3"/>
        <v>5071361.7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</f>
        <v>91366.95</v>
      </c>
      <c r="P31" s="94">
        <f>14013.7+18634.05+17431.85+18634.05+18032.95</f>
        <v>86746.59999999999</v>
      </c>
      <c r="Q31" s="6">
        <f t="shared" si="2"/>
        <v>18634.050000000003</v>
      </c>
      <c r="R31" s="48">
        <f t="shared" si="3"/>
        <v>6018634.050000001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</f>
        <v>152278.26</v>
      </c>
      <c r="P32" s="135">
        <f>23356.16+31056.75+29053.09+31056.75+30054.92</f>
        <v>144577.66999999998</v>
      </c>
      <c r="Q32" s="6">
        <f t="shared" si="2"/>
        <v>31056.75000000003</v>
      </c>
      <c r="R32" s="48">
        <f t="shared" si="3"/>
        <v>10031056.75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</f>
        <v>152278.26</v>
      </c>
      <c r="P33" s="94">
        <f>23356.16+31056.75+29053.09+31056.75+30054.92</f>
        <v>144577.66999999998</v>
      </c>
      <c r="Q33" s="6">
        <f t="shared" si="2"/>
        <v>31056.75000000003</v>
      </c>
      <c r="R33" s="48">
        <f t="shared" si="3"/>
        <v>10031056.75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94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</f>
        <v>98980.87999999999</v>
      </c>
      <c r="P35" s="140">
        <f>15181.51+20186.89+18884.51+20186.89+19535.7</f>
        <v>93975.5</v>
      </c>
      <c r="Q35" s="32">
        <f t="shared" si="2"/>
        <v>20186.889999999985</v>
      </c>
      <c r="R35" s="32">
        <f t="shared" si="3"/>
        <v>6520186.89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</f>
        <v>188825.04</v>
      </c>
      <c r="P36" s="140">
        <f>7473.97+38510.37+36025.83+38510.37+37268.1</f>
        <v>157788.64</v>
      </c>
      <c r="Q36" s="32">
        <f t="shared" si="2"/>
        <v>38510.369999999995</v>
      </c>
      <c r="R36" s="32">
        <f t="shared" si="3"/>
        <v>12438510.37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thickBot="1">
      <c r="A37" s="95" t="s">
        <v>21</v>
      </c>
      <c r="B37" s="18"/>
      <c r="C37" s="18"/>
      <c r="D37" s="96"/>
      <c r="E37" s="97"/>
      <c r="F37" s="98"/>
      <c r="G37" s="98"/>
      <c r="H37" s="136">
        <f>H23+H24+H25+H26+H27+H28+H29+H30+H31+H32+H33+H34+H35+H36</f>
        <v>80273000</v>
      </c>
      <c r="I37" s="136">
        <f aca="true" t="shared" si="4" ref="I37:S37">I23+I24+I25+I26+I27+I28+I29+I30+I31+I32+I33+I34+I35+I36</f>
        <v>0</v>
      </c>
      <c r="J37" s="136">
        <f t="shared" si="4"/>
        <v>13088000</v>
      </c>
      <c r="K37" s="136">
        <f t="shared" si="4"/>
        <v>67185000</v>
      </c>
      <c r="L37" s="136">
        <f t="shared" si="4"/>
        <v>67185000</v>
      </c>
      <c r="M37" s="136">
        <f t="shared" si="4"/>
        <v>0</v>
      </c>
      <c r="N37" s="136">
        <f t="shared" si="4"/>
        <v>176423.22</v>
      </c>
      <c r="O37" s="136">
        <f t="shared" si="4"/>
        <v>1126425.19</v>
      </c>
      <c r="P37" s="136">
        <f t="shared" si="4"/>
        <v>1089240.99</v>
      </c>
      <c r="Q37" s="136">
        <f t="shared" si="4"/>
        <v>213607.42</v>
      </c>
      <c r="R37" s="136">
        <f t="shared" si="4"/>
        <v>67398607.42</v>
      </c>
      <c r="S37" s="136">
        <f t="shared" si="4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19" ht="16.5" customHeight="1" thickBot="1">
      <c r="A38" s="141" t="s">
        <v>19</v>
      </c>
      <c r="B38" s="142" t="s">
        <v>23</v>
      </c>
      <c r="C38" s="142"/>
      <c r="D38" s="142"/>
      <c r="E38" s="142"/>
      <c r="F38" s="142"/>
      <c r="G38" s="20"/>
      <c r="H38" s="10"/>
      <c r="I38" s="10"/>
      <c r="J38" s="10"/>
      <c r="K38" s="10"/>
      <c r="L38" s="99"/>
      <c r="M38" s="10"/>
      <c r="N38" s="10"/>
      <c r="O38" s="10"/>
      <c r="P38" s="146"/>
      <c r="Q38" s="10"/>
      <c r="R38" s="147"/>
      <c r="S38" s="25"/>
    </row>
    <row r="39" spans="1:19" ht="69" customHeight="1">
      <c r="A39" s="144">
        <v>1</v>
      </c>
      <c r="B39" s="42" t="s">
        <v>23</v>
      </c>
      <c r="C39" s="145" t="s">
        <v>60</v>
      </c>
      <c r="D39" s="132" t="s">
        <v>61</v>
      </c>
      <c r="E39" s="17">
        <v>9000000</v>
      </c>
      <c r="F39" s="132" t="s">
        <v>68</v>
      </c>
      <c r="G39" s="133" t="s">
        <v>28</v>
      </c>
      <c r="H39" s="3">
        <v>9000000</v>
      </c>
      <c r="I39" s="156"/>
      <c r="J39" s="3"/>
      <c r="K39" s="6">
        <f>H39+I39-J39</f>
        <v>9000000</v>
      </c>
      <c r="L39" s="6">
        <f>K39</f>
        <v>9000000</v>
      </c>
      <c r="M39" s="3"/>
      <c r="N39" s="3">
        <v>0</v>
      </c>
      <c r="O39" s="3">
        <f>302459.01+144836.07+140163.93+144836.07</f>
        <v>732295.0800000001</v>
      </c>
      <c r="P39" s="17">
        <f>156270.49+146188.52+144836.07+140163.93+144836.07</f>
        <v>732295.0800000001</v>
      </c>
      <c r="Q39" s="6">
        <f>N39+O39-P39</f>
        <v>0</v>
      </c>
      <c r="R39" s="6">
        <f>K39+N39+O39-P39</f>
        <v>9000000</v>
      </c>
      <c r="S39" s="25"/>
    </row>
    <row r="40" spans="1:19" ht="69" customHeight="1">
      <c r="A40" s="152">
        <v>2</v>
      </c>
      <c r="B40" s="42" t="s">
        <v>23</v>
      </c>
      <c r="C40" s="145" t="s">
        <v>66</v>
      </c>
      <c r="D40" s="132" t="s">
        <v>61</v>
      </c>
      <c r="E40" s="17">
        <v>5000000</v>
      </c>
      <c r="F40" s="132" t="s">
        <v>67</v>
      </c>
      <c r="G40" s="133" t="s">
        <v>28</v>
      </c>
      <c r="H40" s="3">
        <v>5000000</v>
      </c>
      <c r="I40" s="156"/>
      <c r="J40" s="3"/>
      <c r="K40" s="6">
        <f>H40+I40-J40</f>
        <v>5000000</v>
      </c>
      <c r="L40" s="6">
        <f>K40</f>
        <v>5000000</v>
      </c>
      <c r="M40" s="3"/>
      <c r="N40" s="3">
        <v>0</v>
      </c>
      <c r="O40" s="3">
        <f>134426.23+69453.55+67213.11+69453.55</f>
        <v>340546.44</v>
      </c>
      <c r="P40" s="17">
        <f>69453.55+64972.68+69453.55+67213.11+69453.55</f>
        <v>340546.44</v>
      </c>
      <c r="Q40" s="6">
        <f>N40+O40-P40</f>
        <v>0</v>
      </c>
      <c r="R40" s="6">
        <f>K40+N40+O40-P40</f>
        <v>5000000</v>
      </c>
      <c r="S40" s="25"/>
    </row>
    <row r="41" spans="1:19" ht="69" customHeight="1">
      <c r="A41" s="152">
        <v>2</v>
      </c>
      <c r="B41" s="42" t="s">
        <v>23</v>
      </c>
      <c r="C41" s="145" t="s">
        <v>84</v>
      </c>
      <c r="D41" s="132" t="s">
        <v>61</v>
      </c>
      <c r="E41" s="17"/>
      <c r="F41" s="132" t="s">
        <v>122</v>
      </c>
      <c r="G41" s="133" t="s">
        <v>28</v>
      </c>
      <c r="H41" s="3"/>
      <c r="I41" s="156">
        <v>10000000</v>
      </c>
      <c r="J41" s="3"/>
      <c r="K41" s="6">
        <f>H41+I41-J41</f>
        <v>10000000</v>
      </c>
      <c r="L41" s="6">
        <f>K41</f>
        <v>10000000</v>
      </c>
      <c r="M41" s="3"/>
      <c r="N41" s="3">
        <v>0</v>
      </c>
      <c r="O41" s="3">
        <f>110420.77+155592.9</f>
        <v>266013.67</v>
      </c>
      <c r="P41" s="17">
        <f>110420.77+155592.9</f>
        <v>266013.67</v>
      </c>
      <c r="Q41" s="6">
        <f>N41+O41-P41</f>
        <v>0</v>
      </c>
      <c r="R41" s="6">
        <f>K41+N41+O41-P41</f>
        <v>10000000</v>
      </c>
      <c r="S41" s="25"/>
    </row>
    <row r="42" spans="1:19" ht="16.5" customHeight="1" thickBot="1">
      <c r="A42" s="95" t="s">
        <v>21</v>
      </c>
      <c r="B42" s="143"/>
      <c r="C42" s="143"/>
      <c r="D42" s="14"/>
      <c r="E42" s="14"/>
      <c r="F42" s="14"/>
      <c r="G42" s="14"/>
      <c r="H42" s="1">
        <f>H39+H40+H41</f>
        <v>14000000</v>
      </c>
      <c r="I42" s="1">
        <f aca="true" t="shared" si="5" ref="I42:S42">I39+I40+I41</f>
        <v>10000000</v>
      </c>
      <c r="J42" s="1">
        <f t="shared" si="5"/>
        <v>0</v>
      </c>
      <c r="K42" s="1">
        <f t="shared" si="5"/>
        <v>24000000</v>
      </c>
      <c r="L42" s="1">
        <f t="shared" si="5"/>
        <v>24000000</v>
      </c>
      <c r="M42" s="1">
        <f t="shared" si="5"/>
        <v>0</v>
      </c>
      <c r="N42" s="1">
        <f t="shared" si="5"/>
        <v>0</v>
      </c>
      <c r="O42" s="1">
        <f t="shared" si="5"/>
        <v>1338855.19</v>
      </c>
      <c r="P42" s="1">
        <f t="shared" si="5"/>
        <v>1338855.19</v>
      </c>
      <c r="Q42" s="1">
        <f t="shared" si="5"/>
        <v>0</v>
      </c>
      <c r="R42" s="1">
        <f t="shared" si="5"/>
        <v>24000000</v>
      </c>
      <c r="S42" s="1">
        <f t="shared" si="5"/>
        <v>0</v>
      </c>
    </row>
    <row r="43" spans="1:35" s="83" customFormat="1" ht="18" customHeight="1" thickBot="1">
      <c r="A43" s="101" t="s">
        <v>5</v>
      </c>
      <c r="B43" s="102" t="s">
        <v>22</v>
      </c>
      <c r="C43" s="102"/>
      <c r="D43" s="148"/>
      <c r="E43" s="148"/>
      <c r="F43" s="148"/>
      <c r="G43" s="148"/>
      <c r="H43" s="148"/>
      <c r="I43" s="143"/>
      <c r="J43" s="143"/>
      <c r="K43" s="143"/>
      <c r="L43" s="143"/>
      <c r="M43" s="143"/>
      <c r="N43" s="143"/>
      <c r="O43" s="143"/>
      <c r="P43" s="151"/>
      <c r="Q43" s="143"/>
      <c r="R43" s="149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83" customFormat="1" ht="69.75" customHeight="1" hidden="1">
      <c r="A44" s="101"/>
      <c r="B44" s="103"/>
      <c r="C44" s="104"/>
      <c r="D44" s="104"/>
      <c r="E44" s="105"/>
      <c r="F44" s="104"/>
      <c r="G44" s="46"/>
      <c r="H44" s="62"/>
      <c r="I44" s="62"/>
      <c r="J44" s="33"/>
      <c r="K44" s="62"/>
      <c r="L44" s="32"/>
      <c r="M44" s="21"/>
      <c r="N44" s="21"/>
      <c r="O44" s="21"/>
      <c r="P44" s="150"/>
      <c r="Q44" s="62"/>
      <c r="R44" s="62"/>
      <c r="S44" s="82"/>
      <c r="T44" s="106"/>
      <c r="U44" s="106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83" customFormat="1" ht="18" customHeight="1" thickBot="1">
      <c r="A45" s="107" t="s">
        <v>21</v>
      </c>
      <c r="B45" s="108"/>
      <c r="C45" s="109"/>
      <c r="D45" s="109"/>
      <c r="E45" s="110"/>
      <c r="F45" s="111"/>
      <c r="G45" s="104"/>
      <c r="H45" s="34">
        <f>H44</f>
        <v>0</v>
      </c>
      <c r="I45" s="34">
        <f>I44</f>
        <v>0</v>
      </c>
      <c r="J45" s="34">
        <f>J44</f>
        <v>0</v>
      </c>
      <c r="K45" s="34">
        <f>K44</f>
        <v>0</v>
      </c>
      <c r="L45" s="34">
        <f>L44</f>
        <v>0</v>
      </c>
      <c r="M45" s="22">
        <v>3</v>
      </c>
      <c r="N45" s="22">
        <v>0</v>
      </c>
      <c r="O45" s="22">
        <v>0</v>
      </c>
      <c r="P45" s="22">
        <v>0</v>
      </c>
      <c r="Q45" s="34">
        <f>K45</f>
        <v>0</v>
      </c>
      <c r="R45" s="34">
        <f>Q45</f>
        <v>0</v>
      </c>
      <c r="S45" s="82"/>
      <c r="T45" s="11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20" ht="16.5" customHeight="1" thickBot="1">
      <c r="A46" s="113"/>
      <c r="B46" s="20" t="s">
        <v>16</v>
      </c>
      <c r="C46" s="19"/>
      <c r="D46" s="19"/>
      <c r="E46" s="19"/>
      <c r="F46" s="100"/>
      <c r="G46" s="114"/>
      <c r="H46" s="23">
        <f>H37+H44+H42</f>
        <v>94273000</v>
      </c>
      <c r="I46" s="23">
        <f aca="true" t="shared" si="6" ref="I46:R46">I37+I44+I42</f>
        <v>10000000</v>
      </c>
      <c r="J46" s="23">
        <f t="shared" si="6"/>
        <v>13088000</v>
      </c>
      <c r="K46" s="23">
        <f t="shared" si="6"/>
        <v>91185000</v>
      </c>
      <c r="L46" s="23">
        <f t="shared" si="6"/>
        <v>91185000</v>
      </c>
      <c r="M46" s="23">
        <f t="shared" si="6"/>
        <v>0</v>
      </c>
      <c r="N46" s="23">
        <f t="shared" si="6"/>
        <v>176423.22</v>
      </c>
      <c r="O46" s="23">
        <f t="shared" si="6"/>
        <v>2465280.38</v>
      </c>
      <c r="P46" s="23">
        <f t="shared" si="6"/>
        <v>2428096.1799999997</v>
      </c>
      <c r="Q46" s="23">
        <f t="shared" si="6"/>
        <v>213607.42</v>
      </c>
      <c r="R46" s="23">
        <f t="shared" si="6"/>
        <v>91398607.42</v>
      </c>
      <c r="S46" s="25"/>
      <c r="T46" s="115"/>
    </row>
    <row r="47" spans="1:19" ht="16.5" customHeight="1">
      <c r="A47" s="25"/>
      <c r="B47" s="82"/>
      <c r="C47" s="10"/>
      <c r="D47" s="10"/>
      <c r="E47" s="10"/>
      <c r="F47" s="10"/>
      <c r="G47" s="10"/>
      <c r="H47" s="24"/>
      <c r="I47" s="24"/>
      <c r="J47" s="24"/>
      <c r="K47" s="24"/>
      <c r="L47" s="24"/>
      <c r="M47" s="40"/>
      <c r="N47" s="24"/>
      <c r="O47" s="24"/>
      <c r="P47" s="24"/>
      <c r="Q47" s="24"/>
      <c r="R47" s="24"/>
      <c r="S47" s="25"/>
    </row>
    <row r="48" spans="1:19" ht="16.5" customHeight="1">
      <c r="A48" s="25"/>
      <c r="B48" s="10" t="s">
        <v>38</v>
      </c>
      <c r="C48" s="10"/>
      <c r="D48" s="10"/>
      <c r="E48" s="10"/>
      <c r="F48" s="10"/>
      <c r="G48" s="10"/>
      <c r="H48" s="24" t="s">
        <v>47</v>
      </c>
      <c r="I48" s="24"/>
      <c r="J48" s="24"/>
      <c r="K48" s="24"/>
      <c r="L48" s="24"/>
      <c r="M48" s="40"/>
      <c r="N48" s="24"/>
      <c r="O48" s="24"/>
      <c r="P48" s="40"/>
      <c r="Q48" s="24"/>
      <c r="R48" s="24"/>
      <c r="S48" s="25"/>
    </row>
    <row r="49" spans="1:19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24"/>
      <c r="Q49" s="10"/>
      <c r="R49" s="10"/>
      <c r="S49" s="25"/>
    </row>
    <row r="50" spans="1:19" ht="15.75" customHeight="1">
      <c r="A50" s="25"/>
      <c r="B50" s="10" t="s">
        <v>27</v>
      </c>
      <c r="C50" s="10"/>
      <c r="D50" s="116"/>
      <c r="E50" s="117"/>
      <c r="F50" s="117"/>
      <c r="G50" s="117"/>
      <c r="H50" s="35" t="s">
        <v>74</v>
      </c>
      <c r="I50" s="35"/>
      <c r="J50" s="35"/>
      <c r="K50" s="35"/>
      <c r="L50" s="35"/>
      <c r="M50" s="10"/>
      <c r="N50" s="10"/>
      <c r="O50" s="10"/>
      <c r="P50" s="10"/>
      <c r="Q50" s="10"/>
      <c r="R50" s="10"/>
      <c r="S50" s="25"/>
    </row>
    <row r="51" spans="1:19" ht="15.75" customHeight="1">
      <c r="A51" s="25"/>
      <c r="B51" s="10" t="s">
        <v>26</v>
      </c>
      <c r="C51" s="10"/>
      <c r="D51" s="116"/>
      <c r="E51" s="117"/>
      <c r="F51" s="117"/>
      <c r="G51" s="117"/>
      <c r="H51" s="35"/>
      <c r="I51" s="35"/>
      <c r="J51" s="35"/>
      <c r="K51" s="118"/>
      <c r="L51" s="118"/>
      <c r="M51" s="10"/>
      <c r="N51" s="10"/>
      <c r="O51" s="10"/>
      <c r="P51" s="10"/>
      <c r="Q51" s="10"/>
      <c r="R51" s="10"/>
      <c r="S51" s="25"/>
    </row>
    <row r="52" spans="1:19" ht="12.75">
      <c r="A52" s="25"/>
      <c r="B52" s="10"/>
      <c r="C52" s="10"/>
      <c r="D52" s="39"/>
      <c r="E52" s="10"/>
      <c r="F52" s="10"/>
      <c r="G52" s="10"/>
      <c r="H52" s="36"/>
      <c r="I52" s="36"/>
      <c r="J52" s="36"/>
      <c r="K52" s="36"/>
      <c r="L52" s="36"/>
      <c r="M52" s="10"/>
      <c r="N52" s="10"/>
      <c r="O52" s="10"/>
      <c r="P52" s="10"/>
      <c r="Q52" s="10"/>
      <c r="R52" s="10"/>
      <c r="S52" s="25"/>
    </row>
    <row r="53" spans="1:19" ht="0.75" customHeight="1">
      <c r="A53" s="25"/>
      <c r="B53" s="10"/>
      <c r="C53" s="10"/>
      <c r="D53" s="39"/>
      <c r="E53" s="10"/>
      <c r="F53" s="10"/>
      <c r="G53" s="10"/>
      <c r="H53" s="119"/>
      <c r="I53" s="36"/>
      <c r="J53" s="36"/>
      <c r="K53" s="36"/>
      <c r="L53" s="36"/>
      <c r="M53" s="10"/>
      <c r="N53" s="10"/>
      <c r="O53" s="10"/>
      <c r="P53" s="10"/>
      <c r="Q53" s="10"/>
      <c r="R53" s="10"/>
      <c r="S53" s="25"/>
    </row>
    <row r="54" spans="1:19" ht="14.25" customHeight="1" hidden="1">
      <c r="A54" s="25"/>
      <c r="B54" s="10"/>
      <c r="C54" s="10"/>
      <c r="D54" s="39"/>
      <c r="E54" s="10"/>
      <c r="F54" s="10"/>
      <c r="G54" s="10"/>
      <c r="H54" s="36"/>
      <c r="I54" s="36"/>
      <c r="J54" s="36"/>
      <c r="K54" s="36"/>
      <c r="L54" s="36"/>
      <c r="M54" s="10"/>
      <c r="N54" s="10"/>
      <c r="O54" s="10"/>
      <c r="P54" s="10"/>
      <c r="Q54" s="10"/>
      <c r="R54" s="10"/>
      <c r="S54" s="25"/>
    </row>
    <row r="55" spans="1:19" ht="13.5" customHeight="1" hidden="1">
      <c r="A55" s="25"/>
      <c r="B55" s="10"/>
      <c r="C55" s="10"/>
      <c r="D55" s="10"/>
      <c r="E55" s="10"/>
      <c r="F55" s="10"/>
      <c r="G55" s="10"/>
      <c r="H55" s="37"/>
      <c r="I55" s="37"/>
      <c r="J55" s="37"/>
      <c r="K55" s="37"/>
      <c r="L55" s="37"/>
      <c r="M55" s="10"/>
      <c r="N55" s="10"/>
      <c r="O55" s="10"/>
      <c r="P55" s="10"/>
      <c r="Q55" s="10"/>
      <c r="R55" s="10"/>
      <c r="S55" s="25"/>
    </row>
    <row r="56" spans="2:18" s="25" customFormat="1" ht="12.75" customHeight="1">
      <c r="B56" s="10" t="s">
        <v>14</v>
      </c>
      <c r="C56" s="39"/>
      <c r="D56" s="120"/>
      <c r="E56" s="121"/>
      <c r="F56" s="10"/>
      <c r="G56" s="10"/>
      <c r="H56" s="37"/>
      <c r="I56" s="37"/>
      <c r="J56" s="37"/>
      <c r="K56" s="37"/>
      <c r="L56" s="37"/>
      <c r="M56" s="10"/>
      <c r="N56" s="10"/>
      <c r="O56" s="10"/>
      <c r="P56" s="10"/>
      <c r="Q56" s="10"/>
      <c r="R56" s="10"/>
    </row>
    <row r="57" spans="1:18" s="25" customFormat="1" ht="9.75" customHeight="1">
      <c r="A57" s="122"/>
      <c r="B57" s="123" t="s">
        <v>20</v>
      </c>
      <c r="C57" s="10"/>
      <c r="D57" s="10"/>
      <c r="E57" s="124"/>
      <c r="F57" s="124"/>
      <c r="G57" s="125"/>
      <c r="H57" s="38"/>
      <c r="I57" s="38"/>
      <c r="J57" s="38"/>
      <c r="K57" s="38"/>
      <c r="L57" s="38"/>
      <c r="M57" s="10"/>
      <c r="N57" s="10"/>
      <c r="O57" s="10"/>
      <c r="P57" s="10"/>
      <c r="Q57" s="10"/>
      <c r="R57" s="10"/>
    </row>
    <row r="58" spans="2:18" s="25" customFormat="1" ht="12.75">
      <c r="B58" s="39"/>
      <c r="C58" s="10"/>
      <c r="D58" s="116"/>
      <c r="E58" s="38"/>
      <c r="F58" s="38"/>
      <c r="G58" s="38"/>
      <c r="H58" s="35"/>
      <c r="I58" s="35"/>
      <c r="J58" s="35"/>
      <c r="K58" s="35"/>
      <c r="L58" s="35"/>
      <c r="M58" s="10"/>
      <c r="N58" s="10"/>
      <c r="O58" s="10"/>
      <c r="P58" s="10"/>
      <c r="Q58" s="10"/>
      <c r="R58" s="10"/>
    </row>
    <row r="59" spans="2:18" s="25" customFormat="1" ht="12.75">
      <c r="B59" s="10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0"/>
      <c r="Q60" s="10"/>
      <c r="R60" s="10"/>
    </row>
    <row r="61" spans="2:18" s="25" customFormat="1" ht="12.75">
      <c r="B61" s="10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0"/>
      <c r="Q61" s="10"/>
      <c r="R61" s="10"/>
    </row>
    <row r="62" spans="2:18" s="25" customFormat="1" ht="12.75">
      <c r="B62" s="10"/>
      <c r="C62" s="10"/>
      <c r="D62" s="116"/>
      <c r="E62" s="38"/>
      <c r="F62" s="126"/>
      <c r="G62" s="126"/>
      <c r="H62" s="35"/>
      <c r="I62" s="35"/>
      <c r="J62" s="35"/>
      <c r="K62" s="35"/>
      <c r="L62" s="35"/>
      <c r="M62" s="10"/>
      <c r="N62" s="10"/>
      <c r="O62" s="10"/>
      <c r="P62" s="10"/>
      <c r="Q62" s="10"/>
      <c r="R62" s="10"/>
    </row>
    <row r="63" spans="1:18" s="25" customFormat="1" ht="18.75">
      <c r="A63" s="122"/>
      <c r="B63" s="122"/>
      <c r="C63" s="127"/>
      <c r="D63" s="127"/>
      <c r="E63" s="127"/>
      <c r="F63" s="127"/>
      <c r="G63" s="127"/>
      <c r="H63" s="39"/>
      <c r="I63" s="39"/>
      <c r="J63" s="39"/>
      <c r="K63" s="39"/>
      <c r="L63" s="39"/>
      <c r="M63" s="10"/>
      <c r="N63" s="10"/>
      <c r="O63" s="10"/>
      <c r="P63" s="1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0"/>
      <c r="Q66" s="10"/>
      <c r="R66" s="10"/>
    </row>
    <row r="67" spans="1:18" s="25" customFormat="1" ht="18.75">
      <c r="A67" s="128"/>
      <c r="B67" s="10"/>
      <c r="C67" s="10"/>
      <c r="D67" s="10"/>
      <c r="E67" s="125"/>
      <c r="F67" s="125"/>
      <c r="G67" s="125"/>
      <c r="H67" s="38"/>
      <c r="I67" s="38"/>
      <c r="J67" s="38"/>
      <c r="K67" s="38"/>
      <c r="L67" s="38"/>
      <c r="M67" s="10"/>
      <c r="N67" s="10"/>
      <c r="O67" s="10"/>
      <c r="P67" s="10"/>
      <c r="Q67" s="10"/>
      <c r="R67" s="10"/>
    </row>
    <row r="68" spans="2:18" s="25" customFormat="1" ht="12.75">
      <c r="B68" s="10"/>
      <c r="C68" s="10"/>
      <c r="D68" s="116"/>
      <c r="E68" s="117"/>
      <c r="F68" s="129"/>
      <c r="G68" s="129"/>
      <c r="H68" s="35"/>
      <c r="I68" s="35"/>
      <c r="J68" s="35"/>
      <c r="K68" s="35"/>
      <c r="L68" s="35"/>
      <c r="M68" s="10"/>
      <c r="N68" s="10"/>
      <c r="O68" s="10"/>
      <c r="P68" s="1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0"/>
      <c r="Q69" s="10"/>
      <c r="R69" s="10"/>
    </row>
    <row r="70" spans="2:18" s="25" customFormat="1" ht="12.75">
      <c r="B70" s="10"/>
      <c r="C70" s="10"/>
      <c r="D70" s="116"/>
      <c r="E70" s="117"/>
      <c r="F70" s="129"/>
      <c r="G70" s="129"/>
      <c r="H70" s="35"/>
      <c r="I70" s="35"/>
      <c r="J70" s="35"/>
      <c r="K70" s="35"/>
      <c r="L70" s="35"/>
      <c r="M70" s="10"/>
      <c r="N70" s="10"/>
      <c r="O70" s="10"/>
      <c r="P70" s="10"/>
      <c r="Q70" s="10"/>
      <c r="R70" s="10"/>
    </row>
    <row r="71" spans="1:18" s="25" customFormat="1" ht="18.75">
      <c r="A71" s="122"/>
      <c r="B71" s="122"/>
      <c r="C71" s="122"/>
      <c r="D71" s="122"/>
      <c r="E71" s="122"/>
      <c r="F71" s="122"/>
      <c r="G71" s="130"/>
      <c r="H71" s="131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2:18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2:18" s="25" customFormat="1" ht="12.75">
      <c r="B73" s="10"/>
      <c r="C73" s="10"/>
      <c r="D73" s="116"/>
      <c r="E73" s="117"/>
      <c r="F73" s="117"/>
      <c r="G73" s="117"/>
      <c r="H73" s="35"/>
      <c r="I73" s="35"/>
      <c r="J73" s="35"/>
      <c r="K73" s="118"/>
      <c r="L73" s="118"/>
      <c r="M73" s="10"/>
      <c r="N73" s="10"/>
      <c r="O73" s="10"/>
      <c r="P73" s="10"/>
      <c r="Q73" s="10"/>
      <c r="R73" s="10"/>
    </row>
    <row r="74" spans="2:18" s="25" customFormat="1" ht="12.75">
      <c r="B74" s="10"/>
      <c r="C74" s="10"/>
      <c r="D74" s="39"/>
      <c r="E74" s="10"/>
      <c r="F74" s="10"/>
      <c r="G74" s="10"/>
      <c r="H74" s="36"/>
      <c r="I74" s="36"/>
      <c r="J74" s="36"/>
      <c r="K74" s="36"/>
      <c r="L74" s="36"/>
      <c r="M74" s="10"/>
      <c r="N74" s="10"/>
      <c r="O74" s="10"/>
      <c r="Q74" s="10"/>
      <c r="R74" s="10"/>
    </row>
    <row r="75" s="25" customFormat="1" ht="12.75">
      <c r="P75" s="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5"/>
  <sheetViews>
    <sheetView zoomScalePageLayoutView="0" workbookViewId="0" topLeftCell="C40">
      <selection activeCell="G58" sqref="G58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6" width="14.125" style="158" customWidth="1"/>
    <col min="17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159"/>
      <c r="Q6" s="9"/>
      <c r="R6" s="10"/>
    </row>
    <row r="7" spans="1:19" ht="17.25" customHeight="1" thickBot="1">
      <c r="A7" s="25"/>
      <c r="B7" s="10"/>
      <c r="C7" s="10"/>
      <c r="D7" s="64" t="s">
        <v>92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6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96</v>
      </c>
      <c r="J8" s="11" t="s">
        <v>94</v>
      </c>
      <c r="K8" s="11" t="s">
        <v>95</v>
      </c>
      <c r="L8" s="11" t="s">
        <v>18</v>
      </c>
      <c r="M8" s="67" t="s">
        <v>10</v>
      </c>
      <c r="N8" s="11" t="s">
        <v>29</v>
      </c>
      <c r="O8" s="11" t="s">
        <v>31</v>
      </c>
      <c r="P8" s="16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6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6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64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64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64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64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5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64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64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64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166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67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8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169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169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</f>
        <v>12776.14</v>
      </c>
      <c r="P25" s="169">
        <f>2939.37+2605.66+2437.55+2605.66+2521.61+2605.66</f>
        <v>15715.51</v>
      </c>
      <c r="Q25" s="6">
        <f t="shared" si="2"/>
        <v>0</v>
      </c>
      <c r="R25" s="48">
        <f t="shared" si="3"/>
        <v>839000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</f>
        <v>33257.55</v>
      </c>
      <c r="P26" s="169">
        <f>7651.48+6782.79+6345.19+6782.79+6563.99+6782.79</f>
        <v>40909.03</v>
      </c>
      <c r="Q26" s="6">
        <f t="shared" si="2"/>
        <v>0</v>
      </c>
      <c r="R26" s="48">
        <f t="shared" si="3"/>
        <v>2184000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</f>
        <v>55539.49</v>
      </c>
      <c r="P27" s="169">
        <f>12495.55+16068.36+12598.02+11532.07+8820.12+6520.92</f>
        <v>68035.04000000001</v>
      </c>
      <c r="Q27" s="6">
        <f t="shared" si="2"/>
        <v>0</v>
      </c>
      <c r="R27" s="48">
        <f t="shared" si="3"/>
        <v>1650000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</f>
        <v>117543.77999999998</v>
      </c>
      <c r="P28" s="169">
        <f>23356.16+29871.58+24494.76+24036.92+20664.76+18475.76</f>
        <v>140899.94</v>
      </c>
      <c r="Q28" s="6">
        <f t="shared" si="2"/>
        <v>0</v>
      </c>
      <c r="R28" s="48">
        <f t="shared" si="3"/>
        <v>5450000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</f>
        <v>131832.09</v>
      </c>
      <c r="P29" s="169">
        <f>23356.16+30371.7+26418.27+26999.14+24627.2+23415.78</f>
        <v>155188.25</v>
      </c>
      <c r="Q29" s="6">
        <f t="shared" si="2"/>
        <v>0</v>
      </c>
      <c r="R29" s="48">
        <f t="shared" si="3"/>
        <v>7107000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</f>
        <v>91746.75</v>
      </c>
      <c r="P30" s="169">
        <f>16349.32+21233.1+18388.6+18738.94+17024.41+16361.7</f>
        <v>108096.06999999999</v>
      </c>
      <c r="Q30" s="6">
        <f t="shared" si="2"/>
        <v>0</v>
      </c>
      <c r="R30" s="48">
        <f t="shared" si="3"/>
        <v>5055000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</f>
        <v>91366.95</v>
      </c>
      <c r="P31" s="170">
        <f>14013.7+18634.05+17431.85+18634.05+18032.95+18634.05</f>
        <v>105380.65</v>
      </c>
      <c r="Q31" s="6">
        <f t="shared" si="2"/>
        <v>0</v>
      </c>
      <c r="R31" s="48">
        <f t="shared" si="3"/>
        <v>6000000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</f>
        <v>152278.26</v>
      </c>
      <c r="P32" s="171">
        <f>23356.16+31056.75+29053.09+31056.75+30054.92+31056.75</f>
        <v>175634.41999999998</v>
      </c>
      <c r="Q32" s="6">
        <f t="shared" si="2"/>
        <v>0</v>
      </c>
      <c r="R32" s="48">
        <f t="shared" si="3"/>
        <v>10000000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</f>
        <v>152278.26</v>
      </c>
      <c r="P33" s="170">
        <f>23356.16+31056.75+29053.09+31056.75+30054.92+31056.75</f>
        <v>175634.41999999998</v>
      </c>
      <c r="Q33" s="6">
        <f t="shared" si="2"/>
        <v>0</v>
      </c>
      <c r="R33" s="48">
        <f t="shared" si="3"/>
        <v>10000000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170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</f>
        <v>98980.87999999999</v>
      </c>
      <c r="P35" s="172">
        <f>15181.51+20186.89+18884.51+20186.89+19535.7+20186.89</f>
        <v>114162.39</v>
      </c>
      <c r="Q35" s="32">
        <f t="shared" si="2"/>
        <v>0</v>
      </c>
      <c r="R35" s="32">
        <f t="shared" si="3"/>
        <v>6500000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</f>
        <v>188825.04</v>
      </c>
      <c r="P36" s="172">
        <f>7473.97+38510.37+36025.83+38510.37+37268.1+38510.37</f>
        <v>196299.01</v>
      </c>
      <c r="Q36" s="32">
        <f t="shared" si="2"/>
        <v>0</v>
      </c>
      <c r="R36" s="32">
        <f t="shared" si="3"/>
        <v>12400000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thickBot="1">
      <c r="A37" s="95" t="s">
        <v>21</v>
      </c>
      <c r="B37" s="18"/>
      <c r="C37" s="18"/>
      <c r="D37" s="96"/>
      <c r="E37" s="97"/>
      <c r="F37" s="98"/>
      <c r="G37" s="98"/>
      <c r="H37" s="136">
        <f>H23+H24+H25+H26+H27+H28+H29+H30+H31+H32+H33+H34+H35+H36</f>
        <v>80273000</v>
      </c>
      <c r="I37" s="136">
        <f aca="true" t="shared" si="4" ref="I37:S37">I23+I24+I25+I26+I27+I28+I29+I30+I31+I32+I33+I34+I35+I36</f>
        <v>0</v>
      </c>
      <c r="J37" s="136">
        <f t="shared" si="4"/>
        <v>13088000</v>
      </c>
      <c r="K37" s="136">
        <f t="shared" si="4"/>
        <v>67185000</v>
      </c>
      <c r="L37" s="136">
        <f t="shared" si="4"/>
        <v>67185000</v>
      </c>
      <c r="M37" s="136">
        <f t="shared" si="4"/>
        <v>0</v>
      </c>
      <c r="N37" s="136">
        <f t="shared" si="4"/>
        <v>176423.22</v>
      </c>
      <c r="O37" s="136">
        <f t="shared" si="4"/>
        <v>1126425.19</v>
      </c>
      <c r="P37" s="173">
        <f t="shared" si="4"/>
        <v>1302848.41</v>
      </c>
      <c r="Q37" s="136">
        <f t="shared" si="4"/>
        <v>0</v>
      </c>
      <c r="R37" s="136">
        <f t="shared" si="4"/>
        <v>67185000</v>
      </c>
      <c r="S37" s="136">
        <f t="shared" si="4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19" ht="16.5" customHeight="1" thickBot="1">
      <c r="A38" s="141" t="s">
        <v>19</v>
      </c>
      <c r="B38" s="142" t="s">
        <v>23</v>
      </c>
      <c r="C38" s="142"/>
      <c r="D38" s="142"/>
      <c r="E38" s="142"/>
      <c r="F38" s="142"/>
      <c r="G38" s="20"/>
      <c r="H38" s="10"/>
      <c r="I38" s="10"/>
      <c r="J38" s="10"/>
      <c r="K38" s="10"/>
      <c r="L38" s="99"/>
      <c r="M38" s="10"/>
      <c r="N38" s="10"/>
      <c r="O38" s="10"/>
      <c r="P38" s="174"/>
      <c r="Q38" s="10"/>
      <c r="R38" s="147"/>
      <c r="S38" s="25"/>
    </row>
    <row r="39" spans="1:19" ht="69" customHeight="1">
      <c r="A39" s="144">
        <v>1</v>
      </c>
      <c r="B39" s="42" t="s">
        <v>23</v>
      </c>
      <c r="C39" s="145" t="s">
        <v>60</v>
      </c>
      <c r="D39" s="132" t="s">
        <v>61</v>
      </c>
      <c r="E39" s="17">
        <v>9000000</v>
      </c>
      <c r="F39" s="132" t="s">
        <v>68</v>
      </c>
      <c r="G39" s="133" t="s">
        <v>28</v>
      </c>
      <c r="H39" s="3">
        <v>9000000</v>
      </c>
      <c r="I39" s="156"/>
      <c r="J39" s="3"/>
      <c r="K39" s="6">
        <f>H39+I39-J39</f>
        <v>9000000</v>
      </c>
      <c r="L39" s="6">
        <f>K39</f>
        <v>9000000</v>
      </c>
      <c r="M39" s="3"/>
      <c r="N39" s="3">
        <v>0</v>
      </c>
      <c r="O39" s="3">
        <f>302459.01+144836.07+140163.93+144836.07+140163.93</f>
        <v>872459.01</v>
      </c>
      <c r="P39" s="175">
        <f>156270.49+146188.52+144836.07+140163.93+144836.07+140163.93</f>
        <v>872459.01</v>
      </c>
      <c r="Q39" s="6">
        <f>N39+O39-P39</f>
        <v>0</v>
      </c>
      <c r="R39" s="6">
        <f>K39+N39+O39-P39</f>
        <v>9000000</v>
      </c>
      <c r="S39" s="25"/>
    </row>
    <row r="40" spans="1:19" ht="69" customHeight="1">
      <c r="A40" s="152">
        <v>2</v>
      </c>
      <c r="B40" s="42" t="s">
        <v>23</v>
      </c>
      <c r="C40" s="145" t="s">
        <v>66</v>
      </c>
      <c r="D40" s="132" t="s">
        <v>61</v>
      </c>
      <c r="E40" s="17">
        <v>5000000</v>
      </c>
      <c r="F40" s="132" t="s">
        <v>67</v>
      </c>
      <c r="G40" s="133" t="s">
        <v>28</v>
      </c>
      <c r="H40" s="3">
        <v>5000000</v>
      </c>
      <c r="I40" s="156"/>
      <c r="J40" s="3"/>
      <c r="K40" s="6">
        <f>H40+I40-J40</f>
        <v>5000000</v>
      </c>
      <c r="L40" s="6">
        <f>K40</f>
        <v>5000000</v>
      </c>
      <c r="M40" s="3"/>
      <c r="N40" s="3">
        <v>0</v>
      </c>
      <c r="O40" s="3">
        <f>134426.23+69453.55+67213.11+69453.55+67213.11</f>
        <v>407759.55</v>
      </c>
      <c r="P40" s="175">
        <f>69453.55+64972.68+69453.55+67213.11+69453.55+67213.11</f>
        <v>407759.55</v>
      </c>
      <c r="Q40" s="6">
        <f>N40+O40-P40</f>
        <v>0</v>
      </c>
      <c r="R40" s="6">
        <f>K40+N40+O40-P40</f>
        <v>5000000</v>
      </c>
      <c r="S40" s="25"/>
    </row>
    <row r="41" spans="1:19" ht="69" customHeight="1">
      <c r="A41" s="152">
        <v>2</v>
      </c>
      <c r="B41" s="42" t="s">
        <v>23</v>
      </c>
      <c r="C41" s="145" t="s">
        <v>84</v>
      </c>
      <c r="D41" s="132" t="s">
        <v>61</v>
      </c>
      <c r="E41" s="17"/>
      <c r="F41" s="132" t="s">
        <v>122</v>
      </c>
      <c r="G41" s="133" t="s">
        <v>28</v>
      </c>
      <c r="H41" s="3"/>
      <c r="I41" s="156">
        <v>10000000</v>
      </c>
      <c r="J41" s="3"/>
      <c r="K41" s="6">
        <f>H41+I41-J41</f>
        <v>10000000</v>
      </c>
      <c r="L41" s="6">
        <f>K41</f>
        <v>10000000</v>
      </c>
      <c r="M41" s="3"/>
      <c r="N41" s="3">
        <v>0</v>
      </c>
      <c r="O41" s="3">
        <f>110420.77+155592.9+150573.77</f>
        <v>416587.43999999994</v>
      </c>
      <c r="P41" s="175">
        <f>110420.77+155592.9+150573.77</f>
        <v>416587.43999999994</v>
      </c>
      <c r="Q41" s="6">
        <f>N41+O41-P41</f>
        <v>0</v>
      </c>
      <c r="R41" s="6">
        <f>K41+N41+O41-P41</f>
        <v>10000000</v>
      </c>
      <c r="S41" s="25"/>
    </row>
    <row r="42" spans="1:19" ht="16.5" customHeight="1" thickBot="1">
      <c r="A42" s="95" t="s">
        <v>21</v>
      </c>
      <c r="B42" s="143"/>
      <c r="C42" s="143"/>
      <c r="D42" s="14"/>
      <c r="E42" s="14"/>
      <c r="F42" s="14"/>
      <c r="G42" s="14"/>
      <c r="H42" s="1">
        <f>H39+H40+H41</f>
        <v>14000000</v>
      </c>
      <c r="I42" s="1">
        <f aca="true" t="shared" si="5" ref="I42:S42">I39+I40+I41</f>
        <v>10000000</v>
      </c>
      <c r="J42" s="1">
        <f t="shared" si="5"/>
        <v>0</v>
      </c>
      <c r="K42" s="1">
        <f t="shared" si="5"/>
        <v>24000000</v>
      </c>
      <c r="L42" s="1">
        <f t="shared" si="5"/>
        <v>24000000</v>
      </c>
      <c r="M42" s="1">
        <f t="shared" si="5"/>
        <v>0</v>
      </c>
      <c r="N42" s="1">
        <f t="shared" si="5"/>
        <v>0</v>
      </c>
      <c r="O42" s="1">
        <f t="shared" si="5"/>
        <v>1696806</v>
      </c>
      <c r="P42" s="164">
        <f t="shared" si="5"/>
        <v>1696806</v>
      </c>
      <c r="Q42" s="1">
        <f t="shared" si="5"/>
        <v>0</v>
      </c>
      <c r="R42" s="1">
        <f t="shared" si="5"/>
        <v>24000000</v>
      </c>
      <c r="S42" s="1">
        <f t="shared" si="5"/>
        <v>0</v>
      </c>
    </row>
    <row r="43" spans="1:35" s="83" customFormat="1" ht="18" customHeight="1" thickBot="1">
      <c r="A43" s="101" t="s">
        <v>5</v>
      </c>
      <c r="B43" s="102" t="s">
        <v>22</v>
      </c>
      <c r="C43" s="102"/>
      <c r="D43" s="148"/>
      <c r="E43" s="148"/>
      <c r="F43" s="148"/>
      <c r="G43" s="148"/>
      <c r="H43" s="148"/>
      <c r="I43" s="143"/>
      <c r="J43" s="143"/>
      <c r="K43" s="143"/>
      <c r="L43" s="143"/>
      <c r="M43" s="143"/>
      <c r="N43" s="143"/>
      <c r="O43" s="143"/>
      <c r="P43" s="176"/>
      <c r="Q43" s="143"/>
      <c r="R43" s="149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83" customFormat="1" ht="69.75" customHeight="1" hidden="1">
      <c r="A44" s="101"/>
      <c r="B44" s="103"/>
      <c r="C44" s="104"/>
      <c r="D44" s="104"/>
      <c r="E44" s="105"/>
      <c r="F44" s="104"/>
      <c r="G44" s="46"/>
      <c r="H44" s="62"/>
      <c r="I44" s="62"/>
      <c r="J44" s="33"/>
      <c r="K44" s="62"/>
      <c r="L44" s="32"/>
      <c r="M44" s="21"/>
      <c r="N44" s="21"/>
      <c r="O44" s="21"/>
      <c r="P44" s="177"/>
      <c r="Q44" s="62"/>
      <c r="R44" s="62"/>
      <c r="S44" s="82"/>
      <c r="T44" s="106"/>
      <c r="U44" s="106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83" customFormat="1" ht="18" customHeight="1" thickBot="1">
      <c r="A45" s="107" t="s">
        <v>21</v>
      </c>
      <c r="B45" s="108"/>
      <c r="C45" s="109"/>
      <c r="D45" s="109"/>
      <c r="E45" s="110"/>
      <c r="F45" s="111"/>
      <c r="G45" s="104"/>
      <c r="H45" s="34">
        <f>H44</f>
        <v>0</v>
      </c>
      <c r="I45" s="34">
        <f>I44</f>
        <v>0</v>
      </c>
      <c r="J45" s="34">
        <f>J44</f>
        <v>0</v>
      </c>
      <c r="K45" s="34">
        <f>K44</f>
        <v>0</v>
      </c>
      <c r="L45" s="34">
        <f>L44</f>
        <v>0</v>
      </c>
      <c r="M45" s="22">
        <v>3</v>
      </c>
      <c r="N45" s="22">
        <v>0</v>
      </c>
      <c r="O45" s="22">
        <v>0</v>
      </c>
      <c r="P45" s="178">
        <v>0</v>
      </c>
      <c r="Q45" s="34">
        <f>K45</f>
        <v>0</v>
      </c>
      <c r="R45" s="34">
        <f>Q45</f>
        <v>0</v>
      </c>
      <c r="S45" s="82"/>
      <c r="T45" s="11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20" ht="16.5" customHeight="1" thickBot="1">
      <c r="A46" s="113"/>
      <c r="B46" s="20" t="s">
        <v>16</v>
      </c>
      <c r="C46" s="19"/>
      <c r="D46" s="19"/>
      <c r="E46" s="19"/>
      <c r="F46" s="100"/>
      <c r="G46" s="114"/>
      <c r="H46" s="23">
        <f>H37+H44+H42</f>
        <v>94273000</v>
      </c>
      <c r="I46" s="23">
        <f aca="true" t="shared" si="6" ref="I46:R46">I37+I44+I42</f>
        <v>10000000</v>
      </c>
      <c r="J46" s="23">
        <f t="shared" si="6"/>
        <v>13088000</v>
      </c>
      <c r="K46" s="23">
        <f t="shared" si="6"/>
        <v>91185000</v>
      </c>
      <c r="L46" s="23">
        <f t="shared" si="6"/>
        <v>91185000</v>
      </c>
      <c r="M46" s="23">
        <f t="shared" si="6"/>
        <v>0</v>
      </c>
      <c r="N46" s="23">
        <f t="shared" si="6"/>
        <v>176423.22</v>
      </c>
      <c r="O46" s="23">
        <f t="shared" si="6"/>
        <v>2823231.19</v>
      </c>
      <c r="P46" s="179">
        <f t="shared" si="6"/>
        <v>2999654.41</v>
      </c>
      <c r="Q46" s="23">
        <f t="shared" si="6"/>
        <v>0</v>
      </c>
      <c r="R46" s="23">
        <f t="shared" si="6"/>
        <v>91185000</v>
      </c>
      <c r="S46" s="25"/>
      <c r="T46" s="115"/>
    </row>
    <row r="47" spans="1:19" ht="16.5" customHeight="1">
      <c r="A47" s="25"/>
      <c r="B47" s="82"/>
      <c r="C47" s="10"/>
      <c r="D47" s="10"/>
      <c r="E47" s="10"/>
      <c r="F47" s="10"/>
      <c r="G47" s="10"/>
      <c r="H47" s="24"/>
      <c r="I47" s="24"/>
      <c r="J47" s="24"/>
      <c r="K47" s="24"/>
      <c r="L47" s="24"/>
      <c r="M47" s="40"/>
      <c r="N47" s="24"/>
      <c r="O47" s="24"/>
      <c r="P47" s="180"/>
      <c r="Q47" s="24"/>
      <c r="R47" s="24"/>
      <c r="S47" s="25"/>
    </row>
    <row r="48" spans="1:19" ht="16.5" customHeight="1">
      <c r="A48" s="25"/>
      <c r="B48" s="10" t="s">
        <v>38</v>
      </c>
      <c r="C48" s="10"/>
      <c r="D48" s="10"/>
      <c r="E48" s="10"/>
      <c r="F48" s="10"/>
      <c r="G48" s="10"/>
      <c r="H48" s="24" t="s">
        <v>47</v>
      </c>
      <c r="I48" s="24"/>
      <c r="J48" s="24"/>
      <c r="K48" s="24"/>
      <c r="L48" s="24"/>
      <c r="M48" s="40"/>
      <c r="N48" s="24"/>
      <c r="O48" s="24"/>
      <c r="P48" s="181"/>
      <c r="Q48" s="24"/>
      <c r="R48" s="24"/>
      <c r="S48" s="25"/>
    </row>
    <row r="49" spans="1:19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80"/>
      <c r="Q49" s="10"/>
      <c r="R49" s="10"/>
      <c r="S49" s="25"/>
    </row>
    <row r="50" spans="1:19" ht="15.75" customHeight="1">
      <c r="A50" s="25"/>
      <c r="B50" s="10" t="s">
        <v>27</v>
      </c>
      <c r="C50" s="10"/>
      <c r="D50" s="116"/>
      <c r="E50" s="117"/>
      <c r="F50" s="117"/>
      <c r="G50" s="117"/>
      <c r="H50" s="35" t="s">
        <v>74</v>
      </c>
      <c r="I50" s="35"/>
      <c r="J50" s="35"/>
      <c r="K50" s="35"/>
      <c r="L50" s="35"/>
      <c r="M50" s="10"/>
      <c r="N50" s="10"/>
      <c r="O50" s="10"/>
      <c r="P50" s="160"/>
      <c r="Q50" s="10"/>
      <c r="R50" s="10"/>
      <c r="S50" s="25"/>
    </row>
    <row r="51" spans="1:19" ht="15.75" customHeight="1">
      <c r="A51" s="25"/>
      <c r="B51" s="10" t="s">
        <v>26</v>
      </c>
      <c r="C51" s="10"/>
      <c r="D51" s="116"/>
      <c r="E51" s="117"/>
      <c r="F51" s="117"/>
      <c r="G51" s="117"/>
      <c r="H51" s="35"/>
      <c r="I51" s="35"/>
      <c r="J51" s="35"/>
      <c r="K51" s="118"/>
      <c r="L51" s="118"/>
      <c r="M51" s="10"/>
      <c r="N51" s="10"/>
      <c r="O51" s="10"/>
      <c r="P51" s="160"/>
      <c r="Q51" s="10"/>
      <c r="R51" s="10"/>
      <c r="S51" s="25"/>
    </row>
    <row r="52" spans="1:19" ht="12.75">
      <c r="A52" s="25"/>
      <c r="B52" s="10"/>
      <c r="C52" s="10"/>
      <c r="D52" s="39"/>
      <c r="E52" s="10"/>
      <c r="F52" s="10"/>
      <c r="G52" s="10"/>
      <c r="H52" s="36"/>
      <c r="I52" s="36"/>
      <c r="J52" s="36"/>
      <c r="K52" s="36"/>
      <c r="L52" s="36"/>
      <c r="M52" s="10"/>
      <c r="N52" s="10"/>
      <c r="O52" s="10"/>
      <c r="P52" s="160"/>
      <c r="Q52" s="10"/>
      <c r="R52" s="10"/>
      <c r="S52" s="25"/>
    </row>
    <row r="53" spans="1:19" ht="0.75" customHeight="1">
      <c r="A53" s="25"/>
      <c r="B53" s="10"/>
      <c r="C53" s="10"/>
      <c r="D53" s="39"/>
      <c r="E53" s="10"/>
      <c r="F53" s="10"/>
      <c r="G53" s="10"/>
      <c r="H53" s="119"/>
      <c r="I53" s="36"/>
      <c r="J53" s="36"/>
      <c r="K53" s="36"/>
      <c r="L53" s="36"/>
      <c r="M53" s="10"/>
      <c r="N53" s="10"/>
      <c r="O53" s="10"/>
      <c r="P53" s="160"/>
      <c r="Q53" s="10"/>
      <c r="R53" s="10"/>
      <c r="S53" s="25"/>
    </row>
    <row r="54" spans="1:19" ht="14.25" customHeight="1" hidden="1">
      <c r="A54" s="25"/>
      <c r="B54" s="10"/>
      <c r="C54" s="10"/>
      <c r="D54" s="39"/>
      <c r="E54" s="10"/>
      <c r="F54" s="10"/>
      <c r="G54" s="10"/>
      <c r="H54" s="36"/>
      <c r="I54" s="36"/>
      <c r="J54" s="36"/>
      <c r="K54" s="36"/>
      <c r="L54" s="36"/>
      <c r="M54" s="10"/>
      <c r="N54" s="10"/>
      <c r="O54" s="10"/>
      <c r="P54" s="160"/>
      <c r="Q54" s="10"/>
      <c r="R54" s="10"/>
      <c r="S54" s="25"/>
    </row>
    <row r="55" spans="1:19" ht="13.5" customHeight="1" hidden="1">
      <c r="A55" s="25"/>
      <c r="B55" s="10"/>
      <c r="C55" s="10"/>
      <c r="D55" s="10"/>
      <c r="E55" s="10"/>
      <c r="F55" s="10"/>
      <c r="G55" s="10"/>
      <c r="H55" s="37"/>
      <c r="I55" s="37"/>
      <c r="J55" s="37"/>
      <c r="K55" s="37"/>
      <c r="L55" s="37"/>
      <c r="M55" s="10"/>
      <c r="N55" s="10"/>
      <c r="O55" s="10"/>
      <c r="P55" s="160"/>
      <c r="Q55" s="10"/>
      <c r="R55" s="10"/>
      <c r="S55" s="25"/>
    </row>
    <row r="56" spans="2:18" s="25" customFormat="1" ht="12.75" customHeight="1">
      <c r="B56" s="10" t="s">
        <v>14</v>
      </c>
      <c r="C56" s="39"/>
      <c r="D56" s="120"/>
      <c r="E56" s="121"/>
      <c r="F56" s="10"/>
      <c r="G56" s="10"/>
      <c r="H56" s="37"/>
      <c r="I56" s="37"/>
      <c r="J56" s="37"/>
      <c r="K56" s="37"/>
      <c r="L56" s="37"/>
      <c r="M56" s="10"/>
      <c r="N56" s="10"/>
      <c r="O56" s="10"/>
      <c r="P56" s="160"/>
      <c r="Q56" s="10"/>
      <c r="R56" s="10"/>
    </row>
    <row r="57" spans="1:18" s="25" customFormat="1" ht="9.75" customHeight="1">
      <c r="A57" s="122"/>
      <c r="B57" s="123" t="s">
        <v>20</v>
      </c>
      <c r="C57" s="10"/>
      <c r="D57" s="10"/>
      <c r="E57" s="124"/>
      <c r="F57" s="124"/>
      <c r="G57" s="125"/>
      <c r="H57" s="38"/>
      <c r="I57" s="38"/>
      <c r="J57" s="38"/>
      <c r="K57" s="38"/>
      <c r="L57" s="38"/>
      <c r="M57" s="10"/>
      <c r="N57" s="10"/>
      <c r="O57" s="10"/>
      <c r="P57" s="160"/>
      <c r="Q57" s="10"/>
      <c r="R57" s="10"/>
    </row>
    <row r="58" spans="2:18" s="25" customFormat="1" ht="12.75">
      <c r="B58" s="39"/>
      <c r="C58" s="10"/>
      <c r="D58" s="116"/>
      <c r="E58" s="38"/>
      <c r="F58" s="38"/>
      <c r="G58" s="38"/>
      <c r="H58" s="35"/>
      <c r="I58" s="35"/>
      <c r="J58" s="35"/>
      <c r="K58" s="35"/>
      <c r="L58" s="35"/>
      <c r="M58" s="10"/>
      <c r="N58" s="10"/>
      <c r="O58" s="10"/>
      <c r="P58" s="160"/>
      <c r="Q58" s="10"/>
      <c r="R58" s="10"/>
    </row>
    <row r="59" spans="2:18" s="25" customFormat="1" ht="12.75">
      <c r="B59" s="10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6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60"/>
      <c r="Q60" s="10"/>
      <c r="R60" s="10"/>
    </row>
    <row r="61" spans="2:18" s="25" customFormat="1" ht="12.75">
      <c r="B61" s="10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60"/>
      <c r="Q61" s="10"/>
      <c r="R61" s="10"/>
    </row>
    <row r="62" spans="2:18" s="25" customFormat="1" ht="12.75">
      <c r="B62" s="10"/>
      <c r="C62" s="10"/>
      <c r="D62" s="116"/>
      <c r="E62" s="38"/>
      <c r="F62" s="126"/>
      <c r="G62" s="126"/>
      <c r="H62" s="35"/>
      <c r="I62" s="35"/>
      <c r="J62" s="35"/>
      <c r="K62" s="35"/>
      <c r="L62" s="35"/>
      <c r="M62" s="10"/>
      <c r="N62" s="10"/>
      <c r="O62" s="10"/>
      <c r="P62" s="160"/>
      <c r="Q62" s="10"/>
      <c r="R62" s="10"/>
    </row>
    <row r="63" spans="1:18" s="25" customFormat="1" ht="18.75">
      <c r="A63" s="122"/>
      <c r="B63" s="122"/>
      <c r="C63" s="127"/>
      <c r="D63" s="127"/>
      <c r="E63" s="127"/>
      <c r="F63" s="127"/>
      <c r="G63" s="127"/>
      <c r="H63" s="39"/>
      <c r="I63" s="39"/>
      <c r="J63" s="39"/>
      <c r="K63" s="39"/>
      <c r="L63" s="39"/>
      <c r="M63" s="10"/>
      <c r="N63" s="10"/>
      <c r="O63" s="10"/>
      <c r="P63" s="16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6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6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60"/>
      <c r="Q66" s="10"/>
      <c r="R66" s="10"/>
    </row>
    <row r="67" spans="1:18" s="25" customFormat="1" ht="18.75">
      <c r="A67" s="128"/>
      <c r="B67" s="10"/>
      <c r="C67" s="10"/>
      <c r="D67" s="10"/>
      <c r="E67" s="125"/>
      <c r="F67" s="125"/>
      <c r="G67" s="125"/>
      <c r="H67" s="38"/>
      <c r="I67" s="38"/>
      <c r="J67" s="38"/>
      <c r="K67" s="38"/>
      <c r="L67" s="38"/>
      <c r="M67" s="10"/>
      <c r="N67" s="10"/>
      <c r="O67" s="10"/>
      <c r="P67" s="160"/>
      <c r="Q67" s="10"/>
      <c r="R67" s="10"/>
    </row>
    <row r="68" spans="2:18" s="25" customFormat="1" ht="12.75">
      <c r="B68" s="10"/>
      <c r="C68" s="10"/>
      <c r="D68" s="116"/>
      <c r="E68" s="117"/>
      <c r="F68" s="129"/>
      <c r="G68" s="129"/>
      <c r="H68" s="35"/>
      <c r="I68" s="35"/>
      <c r="J68" s="35"/>
      <c r="K68" s="35"/>
      <c r="L68" s="35"/>
      <c r="M68" s="10"/>
      <c r="N68" s="10"/>
      <c r="O68" s="10"/>
      <c r="P68" s="16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60"/>
      <c r="Q69" s="10"/>
      <c r="R69" s="10"/>
    </row>
    <row r="70" spans="2:18" s="25" customFormat="1" ht="12.75">
      <c r="B70" s="10"/>
      <c r="C70" s="10"/>
      <c r="D70" s="116"/>
      <c r="E70" s="117"/>
      <c r="F70" s="129"/>
      <c r="G70" s="129"/>
      <c r="H70" s="35"/>
      <c r="I70" s="35"/>
      <c r="J70" s="35"/>
      <c r="K70" s="35"/>
      <c r="L70" s="35"/>
      <c r="M70" s="10"/>
      <c r="N70" s="10"/>
      <c r="O70" s="10"/>
      <c r="P70" s="160"/>
      <c r="Q70" s="10"/>
      <c r="R70" s="10"/>
    </row>
    <row r="71" spans="1:18" s="25" customFormat="1" ht="18.75">
      <c r="A71" s="122"/>
      <c r="B71" s="122"/>
      <c r="C71" s="122"/>
      <c r="D71" s="122"/>
      <c r="E71" s="122"/>
      <c r="F71" s="122"/>
      <c r="G71" s="130"/>
      <c r="H71" s="131"/>
      <c r="I71" s="10"/>
      <c r="J71" s="10"/>
      <c r="K71" s="10"/>
      <c r="L71" s="10"/>
      <c r="M71" s="10"/>
      <c r="N71" s="10"/>
      <c r="O71" s="10"/>
      <c r="P71" s="160"/>
      <c r="Q71" s="10"/>
      <c r="R71" s="10"/>
    </row>
    <row r="72" spans="2:18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60"/>
      <c r="Q72" s="10"/>
      <c r="R72" s="10"/>
    </row>
    <row r="73" spans="2:18" s="25" customFormat="1" ht="12.75">
      <c r="B73" s="10"/>
      <c r="C73" s="10"/>
      <c r="D73" s="116"/>
      <c r="E73" s="117"/>
      <c r="F73" s="117"/>
      <c r="G73" s="117"/>
      <c r="H73" s="35"/>
      <c r="I73" s="35"/>
      <c r="J73" s="35"/>
      <c r="K73" s="118"/>
      <c r="L73" s="118"/>
      <c r="M73" s="10"/>
      <c r="N73" s="10"/>
      <c r="O73" s="10"/>
      <c r="P73" s="160"/>
      <c r="Q73" s="10"/>
      <c r="R73" s="10"/>
    </row>
    <row r="74" spans="2:18" s="25" customFormat="1" ht="12.75">
      <c r="B74" s="10"/>
      <c r="C74" s="10"/>
      <c r="D74" s="39"/>
      <c r="E74" s="10"/>
      <c r="F74" s="10"/>
      <c r="G74" s="10"/>
      <c r="H74" s="36"/>
      <c r="I74" s="36"/>
      <c r="J74" s="36"/>
      <c r="K74" s="36"/>
      <c r="L74" s="36"/>
      <c r="M74" s="10"/>
      <c r="N74" s="10"/>
      <c r="O74" s="10"/>
      <c r="P74" s="182"/>
      <c r="Q74" s="10"/>
      <c r="R74" s="10"/>
    </row>
    <row r="75" s="25" customFormat="1" ht="12.75">
      <c r="P75" s="15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AI75"/>
  <sheetViews>
    <sheetView zoomScalePageLayoutView="0" workbookViewId="0" topLeftCell="A37">
      <selection activeCell="F51" sqref="F51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6" width="14.125" style="158" customWidth="1"/>
    <col min="17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159"/>
      <c r="Q6" s="9"/>
      <c r="R6" s="10"/>
    </row>
    <row r="7" spans="1:19" ht="17.25" customHeight="1" thickBot="1">
      <c r="A7" s="25"/>
      <c r="B7" s="10"/>
      <c r="C7" s="10"/>
      <c r="D7" s="64" t="s">
        <v>93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6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97</v>
      </c>
      <c r="J8" s="11" t="s">
        <v>98</v>
      </c>
      <c r="K8" s="11" t="s">
        <v>99</v>
      </c>
      <c r="L8" s="11" t="s">
        <v>18</v>
      </c>
      <c r="M8" s="67" t="s">
        <v>10</v>
      </c>
      <c r="N8" s="11" t="s">
        <v>29</v>
      </c>
      <c r="O8" s="11" t="s">
        <v>31</v>
      </c>
      <c r="P8" s="16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6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6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64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64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64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64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5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64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64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64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166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67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8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169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169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2605.66+2437.55+2605.66+2521.61+2605.66+1833.13+71.06</f>
        <v>14680.33</v>
      </c>
      <c r="P25" s="169">
        <f>2939.37+2605.66+2437.55+2605.66+2521.61+2605.66+1833.13</f>
        <v>17548.64</v>
      </c>
      <c r="Q25" s="6">
        <f t="shared" si="2"/>
        <v>71.06000000000131</v>
      </c>
      <c r="R25" s="48">
        <f t="shared" si="3"/>
        <v>839071.0599999999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6782.79+6345.19+6782.79+6563.99+6782.79+4771.81+184.98</f>
        <v>38214.340000000004</v>
      </c>
      <c r="P26" s="169">
        <f>7651.48+6782.79+6345.19+6782.79+6563.99+6782.79+4771.81</f>
        <v>45680.84</v>
      </c>
      <c r="Q26" s="6">
        <f t="shared" si="2"/>
        <v>184.98000000001048</v>
      </c>
      <c r="R26" s="48">
        <f t="shared" si="3"/>
        <v>2184184.98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16068.36+12598.02+11532.07+8820.12+6520.92+3758.36</f>
        <v>59297.85</v>
      </c>
      <c r="P27" s="169">
        <f>12495.55+16068.36+12598.02+11532.07+8820.12+6520.92+3758.36</f>
        <v>71793.40000000001</v>
      </c>
      <c r="Q27" s="6">
        <f t="shared" si="2"/>
        <v>0</v>
      </c>
      <c r="R27" s="48">
        <f t="shared" si="3"/>
        <v>1650000.0000000002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29871.58+24494.76+24036.92+20664.76+18475.76+12413.95</f>
        <v>129957.72999999998</v>
      </c>
      <c r="P28" s="169">
        <f>23356.16+29871.58+24494.76+24036.92+20664.76+18475.76+12413.95</f>
        <v>153313.89</v>
      </c>
      <c r="Q28" s="6">
        <f t="shared" si="2"/>
        <v>0</v>
      </c>
      <c r="R28" s="48">
        <f t="shared" si="3"/>
        <v>5450000.000000001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30371.7+26418.27+26999.14+24627.2+23415.78+17112.65+4695.74</f>
        <v>153640.47999999998</v>
      </c>
      <c r="P29" s="169">
        <f>23356.16+30371.7+26418.27+26999.14+24627.2+23415.78+17112.65</f>
        <v>172300.9</v>
      </c>
      <c r="Q29" s="6">
        <f t="shared" si="2"/>
        <v>4695.739999999991</v>
      </c>
      <c r="R29" s="48">
        <f t="shared" si="3"/>
        <v>7111695.74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21233.1+18388.6+18738.94+17024.41+16361.7+12978.59+6913.17</f>
        <v>111638.51</v>
      </c>
      <c r="P30" s="169">
        <f>16349.32+21233.1+18388.6+18738.94+17024.41+16361.7+12978.59</f>
        <v>121074.65999999999</v>
      </c>
      <c r="Q30" s="6">
        <f t="shared" si="2"/>
        <v>6913.169999999998</v>
      </c>
      <c r="R30" s="48">
        <f t="shared" si="3"/>
        <v>5061913.17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18634.05+17431.85+18634.05+18032.95+18634.05+17568.38+17786.89</f>
        <v>126722.22</v>
      </c>
      <c r="P31" s="170">
        <f>14013.7+18634.05+17431.85+18634.05+18032.95+18634.05+17568.38</f>
        <v>122949.03</v>
      </c>
      <c r="Q31" s="6">
        <f t="shared" si="2"/>
        <v>17786.890000000014</v>
      </c>
      <c r="R31" s="48">
        <f t="shared" si="3"/>
        <v>6017786.89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31056.75+29053.09+31056.75+30054.92+31056.75+29280.63+29644.81</f>
        <v>211203.7</v>
      </c>
      <c r="P32" s="171">
        <f>23356.16+31056.75+29053.09+31056.75+30054.92+31056.75+29280.63</f>
        <v>204915.05</v>
      </c>
      <c r="Q32" s="6">
        <f t="shared" si="2"/>
        <v>29644.810000000027</v>
      </c>
      <c r="R32" s="48">
        <f t="shared" si="3"/>
        <v>10029644.809999999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31056.75+29053.09+31056.75+30054.92+31056.75+29280.63+29644.81</f>
        <v>211203.7</v>
      </c>
      <c r="P33" s="170">
        <f>23356.16+31056.75+29053.09+31056.75+30054.92+31056.75+29280.63</f>
        <v>204915.05</v>
      </c>
      <c r="Q33" s="6">
        <f t="shared" si="2"/>
        <v>29644.810000000027</v>
      </c>
      <c r="R33" s="48">
        <f t="shared" si="3"/>
        <v>10029644.809999999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170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20186.89+18884.51+20186.89+19535.7+20186.89+19032.41+19269.13</f>
        <v>137282.41999999998</v>
      </c>
      <c r="P35" s="172">
        <f>15181.51+20186.89+18884.51+20186.89+19535.7+20186.89+19032.41</f>
        <v>133194.8</v>
      </c>
      <c r="Q35" s="32">
        <f t="shared" si="2"/>
        <v>19269.130000000005</v>
      </c>
      <c r="R35" s="32">
        <f t="shared" si="3"/>
        <v>6519269.13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38510.37+36025.83+38510.37+37268.1+38510.37+36307.98+36759.56</f>
        <v>261892.58000000002</v>
      </c>
      <c r="P36" s="172">
        <f>7473.97+38510.37+36025.83+38510.37+37268.1+38510.37+36307.98</f>
        <v>232606.99000000002</v>
      </c>
      <c r="Q36" s="32">
        <f t="shared" si="2"/>
        <v>36759.55999999997</v>
      </c>
      <c r="R36" s="32">
        <f t="shared" si="3"/>
        <v>12436759.56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15.75" customHeight="1" thickBot="1">
      <c r="A37" s="95" t="s">
        <v>21</v>
      </c>
      <c r="B37" s="18"/>
      <c r="C37" s="18"/>
      <c r="D37" s="96"/>
      <c r="E37" s="97"/>
      <c r="F37" s="98"/>
      <c r="G37" s="98"/>
      <c r="H37" s="136">
        <f>H23+H24+H25+H26+H27+H28+H29+H30+H31+H32+H33+H34+H35+H36</f>
        <v>80273000</v>
      </c>
      <c r="I37" s="136">
        <f aca="true" t="shared" si="4" ref="I37:S37">I23+I24+I25+I26+I27+I28+I29+I30+I31+I32+I33+I34+I35+I36</f>
        <v>0</v>
      </c>
      <c r="J37" s="136">
        <f t="shared" si="4"/>
        <v>13088000</v>
      </c>
      <c r="K37" s="136">
        <f t="shared" si="4"/>
        <v>67185000</v>
      </c>
      <c r="L37" s="136">
        <f t="shared" si="4"/>
        <v>67185000</v>
      </c>
      <c r="M37" s="136">
        <f t="shared" si="4"/>
        <v>0</v>
      </c>
      <c r="N37" s="136">
        <f t="shared" si="4"/>
        <v>176423.22</v>
      </c>
      <c r="O37" s="136">
        <f t="shared" si="4"/>
        <v>1455733.8599999999</v>
      </c>
      <c r="P37" s="173">
        <f t="shared" si="4"/>
        <v>1487186.9300000002</v>
      </c>
      <c r="Q37" s="136">
        <f t="shared" si="4"/>
        <v>144970.15000000002</v>
      </c>
      <c r="R37" s="136">
        <f t="shared" si="4"/>
        <v>67329970.15</v>
      </c>
      <c r="S37" s="136">
        <f t="shared" si="4"/>
        <v>0</v>
      </c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19" ht="16.5" customHeight="1" thickBot="1">
      <c r="A38" s="141" t="s">
        <v>19</v>
      </c>
      <c r="B38" s="142" t="s">
        <v>23</v>
      </c>
      <c r="C38" s="142"/>
      <c r="D38" s="142"/>
      <c r="E38" s="142"/>
      <c r="F38" s="142"/>
      <c r="G38" s="20"/>
      <c r="H38" s="10"/>
      <c r="I38" s="10"/>
      <c r="J38" s="10"/>
      <c r="K38" s="10"/>
      <c r="L38" s="99"/>
      <c r="M38" s="10"/>
      <c r="N38" s="10"/>
      <c r="O38" s="10"/>
      <c r="P38" s="174"/>
      <c r="Q38" s="10"/>
      <c r="R38" s="147"/>
      <c r="S38" s="25"/>
    </row>
    <row r="39" spans="1:19" ht="69" customHeight="1">
      <c r="A39" s="144">
        <v>1</v>
      </c>
      <c r="B39" s="42" t="s">
        <v>23</v>
      </c>
      <c r="C39" s="145" t="s">
        <v>60</v>
      </c>
      <c r="D39" s="132" t="s">
        <v>61</v>
      </c>
      <c r="E39" s="17">
        <v>9000000</v>
      </c>
      <c r="F39" s="132" t="s">
        <v>68</v>
      </c>
      <c r="G39" s="133" t="s">
        <v>28</v>
      </c>
      <c r="H39" s="3">
        <v>9000000</v>
      </c>
      <c r="I39" s="156"/>
      <c r="J39" s="3"/>
      <c r="K39" s="6">
        <f>H39+I39-J39</f>
        <v>9000000</v>
      </c>
      <c r="L39" s="6">
        <f>K39</f>
        <v>9000000</v>
      </c>
      <c r="M39" s="3"/>
      <c r="N39" s="3">
        <v>0</v>
      </c>
      <c r="O39" s="3">
        <f>302459.01+144836.07+140163.93+144836.07+140163.93+136229.51</f>
        <v>1008688.52</v>
      </c>
      <c r="P39" s="175">
        <f>156270.49+146188.52+144836.07+140163.93+144836.07+140163.93+136229.51</f>
        <v>1008688.52</v>
      </c>
      <c r="Q39" s="6">
        <f>N39+O39-P39</f>
        <v>0</v>
      </c>
      <c r="R39" s="6">
        <f>K39+N39+O39-P39</f>
        <v>9000000</v>
      </c>
      <c r="S39" s="25"/>
    </row>
    <row r="40" spans="1:19" ht="69" customHeight="1">
      <c r="A40" s="152">
        <v>2</v>
      </c>
      <c r="B40" s="42" t="s">
        <v>23</v>
      </c>
      <c r="C40" s="145" t="s">
        <v>66</v>
      </c>
      <c r="D40" s="132" t="s">
        <v>61</v>
      </c>
      <c r="E40" s="17">
        <v>5000000</v>
      </c>
      <c r="F40" s="132" t="s">
        <v>67</v>
      </c>
      <c r="G40" s="133" t="s">
        <v>28</v>
      </c>
      <c r="H40" s="3">
        <v>5000000</v>
      </c>
      <c r="I40" s="156"/>
      <c r="J40" s="3"/>
      <c r="K40" s="6">
        <f>H40+I40-J40</f>
        <v>5000000</v>
      </c>
      <c r="L40" s="6">
        <f>K40</f>
        <v>5000000</v>
      </c>
      <c r="M40" s="3"/>
      <c r="N40" s="3">
        <v>0</v>
      </c>
      <c r="O40" s="17">
        <f>134426.23+69453.55+67213.11+69453.55+67213.11+69453.55</f>
        <v>477213.1</v>
      </c>
      <c r="P40" s="175">
        <f>69453.55+64972.68+69453.55+67213.11+69453.55+67213.11+69453.55</f>
        <v>477213.1</v>
      </c>
      <c r="Q40" s="6">
        <f>N40+O40-P40</f>
        <v>0</v>
      </c>
      <c r="R40" s="6">
        <f>K40+N40+O40-P40</f>
        <v>5000000</v>
      </c>
      <c r="S40" s="25"/>
    </row>
    <row r="41" spans="1:19" ht="69" customHeight="1">
      <c r="A41" s="152">
        <v>2</v>
      </c>
      <c r="B41" s="42" t="s">
        <v>23</v>
      </c>
      <c r="C41" s="145" t="s">
        <v>84</v>
      </c>
      <c r="D41" s="132" t="s">
        <v>61</v>
      </c>
      <c r="E41" s="17"/>
      <c r="F41" s="132" t="s">
        <v>122</v>
      </c>
      <c r="G41" s="133" t="s">
        <v>28</v>
      </c>
      <c r="H41" s="3"/>
      <c r="I41" s="156">
        <v>10000000</v>
      </c>
      <c r="J41" s="3"/>
      <c r="K41" s="6">
        <f>H41+I41-J41</f>
        <v>10000000</v>
      </c>
      <c r="L41" s="6">
        <f>K41</f>
        <v>10000000</v>
      </c>
      <c r="M41" s="3"/>
      <c r="N41" s="3">
        <v>0</v>
      </c>
      <c r="O41" s="3">
        <f>110420.77+155592.9+150573.77+152054.65</f>
        <v>568642.09</v>
      </c>
      <c r="P41" s="175">
        <f>110420.77+155592.9+150573.77+152054.65</f>
        <v>568642.09</v>
      </c>
      <c r="Q41" s="6">
        <f>N41+O41-P41</f>
        <v>0</v>
      </c>
      <c r="R41" s="6">
        <f>K41+N41+O41-P41</f>
        <v>10000000</v>
      </c>
      <c r="S41" s="25"/>
    </row>
    <row r="42" spans="1:19" ht="16.5" customHeight="1" thickBot="1">
      <c r="A42" s="95" t="s">
        <v>21</v>
      </c>
      <c r="B42" s="143"/>
      <c r="C42" s="143"/>
      <c r="D42" s="14"/>
      <c r="E42" s="14"/>
      <c r="F42" s="14"/>
      <c r="G42" s="14"/>
      <c r="H42" s="1">
        <f>H39+H40+H41</f>
        <v>14000000</v>
      </c>
      <c r="I42" s="1">
        <f aca="true" t="shared" si="5" ref="I42:S42">I39+I40+I41</f>
        <v>10000000</v>
      </c>
      <c r="J42" s="1">
        <f t="shared" si="5"/>
        <v>0</v>
      </c>
      <c r="K42" s="1">
        <f t="shared" si="5"/>
        <v>24000000</v>
      </c>
      <c r="L42" s="1">
        <f t="shared" si="5"/>
        <v>24000000</v>
      </c>
      <c r="M42" s="1">
        <f t="shared" si="5"/>
        <v>0</v>
      </c>
      <c r="N42" s="1">
        <f t="shared" si="5"/>
        <v>0</v>
      </c>
      <c r="O42" s="1">
        <f t="shared" si="5"/>
        <v>2054543.71</v>
      </c>
      <c r="P42" s="164">
        <f t="shared" si="5"/>
        <v>2054543.71</v>
      </c>
      <c r="Q42" s="1">
        <f t="shared" si="5"/>
        <v>0</v>
      </c>
      <c r="R42" s="1">
        <f t="shared" si="5"/>
        <v>24000000</v>
      </c>
      <c r="S42" s="1">
        <f t="shared" si="5"/>
        <v>0</v>
      </c>
    </row>
    <row r="43" spans="1:35" s="83" customFormat="1" ht="18" customHeight="1" thickBot="1">
      <c r="A43" s="101" t="s">
        <v>5</v>
      </c>
      <c r="B43" s="102" t="s">
        <v>22</v>
      </c>
      <c r="C43" s="102"/>
      <c r="D43" s="148"/>
      <c r="E43" s="148"/>
      <c r="F43" s="148"/>
      <c r="G43" s="148"/>
      <c r="H43" s="148"/>
      <c r="I43" s="143"/>
      <c r="J43" s="143"/>
      <c r="K43" s="143"/>
      <c r="L43" s="143"/>
      <c r="M43" s="143"/>
      <c r="N43" s="143"/>
      <c r="O43" s="143"/>
      <c r="P43" s="176"/>
      <c r="Q43" s="143"/>
      <c r="R43" s="149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</row>
    <row r="44" spans="1:35" s="83" customFormat="1" ht="69.75" customHeight="1" hidden="1">
      <c r="A44" s="101"/>
      <c r="B44" s="103"/>
      <c r="C44" s="104"/>
      <c r="D44" s="104"/>
      <c r="E44" s="105"/>
      <c r="F44" s="104"/>
      <c r="G44" s="46"/>
      <c r="H44" s="62"/>
      <c r="I44" s="62"/>
      <c r="J44" s="33"/>
      <c r="K44" s="62"/>
      <c r="L44" s="32"/>
      <c r="M44" s="21"/>
      <c r="N44" s="21"/>
      <c r="O44" s="21"/>
      <c r="P44" s="177"/>
      <c r="Q44" s="62"/>
      <c r="R44" s="62"/>
      <c r="S44" s="82"/>
      <c r="T44" s="106"/>
      <c r="U44" s="106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83" customFormat="1" ht="18" customHeight="1" thickBot="1">
      <c r="A45" s="107" t="s">
        <v>21</v>
      </c>
      <c r="B45" s="108"/>
      <c r="C45" s="109"/>
      <c r="D45" s="109"/>
      <c r="E45" s="110"/>
      <c r="F45" s="111"/>
      <c r="G45" s="104"/>
      <c r="H45" s="34">
        <f>H44</f>
        <v>0</v>
      </c>
      <c r="I45" s="34">
        <f>I44</f>
        <v>0</v>
      </c>
      <c r="J45" s="34">
        <f>J44</f>
        <v>0</v>
      </c>
      <c r="K45" s="34">
        <f>K44</f>
        <v>0</v>
      </c>
      <c r="L45" s="34">
        <f>L44</f>
        <v>0</v>
      </c>
      <c r="M45" s="22">
        <v>3</v>
      </c>
      <c r="N45" s="22">
        <v>0</v>
      </c>
      <c r="O45" s="22">
        <v>0</v>
      </c>
      <c r="P45" s="178">
        <v>0</v>
      </c>
      <c r="Q45" s="34">
        <f>K45</f>
        <v>0</v>
      </c>
      <c r="R45" s="34">
        <f>Q45</f>
        <v>0</v>
      </c>
      <c r="S45" s="82"/>
      <c r="T45" s="11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20" ht="16.5" customHeight="1" thickBot="1">
      <c r="A46" s="113"/>
      <c r="B46" s="20" t="s">
        <v>16</v>
      </c>
      <c r="C46" s="19"/>
      <c r="D46" s="19"/>
      <c r="E46" s="19"/>
      <c r="F46" s="100"/>
      <c r="G46" s="114"/>
      <c r="H46" s="23">
        <f>H37+H44+H42</f>
        <v>94273000</v>
      </c>
      <c r="I46" s="23">
        <f aca="true" t="shared" si="6" ref="I46:R46">I37+I44+I42</f>
        <v>10000000</v>
      </c>
      <c r="J46" s="23">
        <f t="shared" si="6"/>
        <v>13088000</v>
      </c>
      <c r="K46" s="23">
        <f t="shared" si="6"/>
        <v>91185000</v>
      </c>
      <c r="L46" s="23">
        <f t="shared" si="6"/>
        <v>91185000</v>
      </c>
      <c r="M46" s="23">
        <f t="shared" si="6"/>
        <v>0</v>
      </c>
      <c r="N46" s="23">
        <f t="shared" si="6"/>
        <v>176423.22</v>
      </c>
      <c r="O46" s="23">
        <f t="shared" si="6"/>
        <v>3510277.57</v>
      </c>
      <c r="P46" s="179">
        <f t="shared" si="6"/>
        <v>3541730.64</v>
      </c>
      <c r="Q46" s="23">
        <f t="shared" si="6"/>
        <v>144970.15000000002</v>
      </c>
      <c r="R46" s="23">
        <f t="shared" si="6"/>
        <v>91329970.15</v>
      </c>
      <c r="S46" s="25"/>
      <c r="T46" s="115"/>
    </row>
    <row r="47" spans="1:19" ht="16.5" customHeight="1">
      <c r="A47" s="25"/>
      <c r="B47" s="82"/>
      <c r="C47" s="10"/>
      <c r="D47" s="10"/>
      <c r="E47" s="10"/>
      <c r="F47" s="10"/>
      <c r="G47" s="10"/>
      <c r="H47" s="24"/>
      <c r="I47" s="24"/>
      <c r="J47" s="24"/>
      <c r="K47" s="24"/>
      <c r="L47" s="24"/>
      <c r="M47" s="40"/>
      <c r="N47" s="24"/>
      <c r="O47" s="24"/>
      <c r="P47" s="180"/>
      <c r="Q47" s="24"/>
      <c r="R47" s="24"/>
      <c r="S47" s="25"/>
    </row>
    <row r="48" spans="1:19" ht="16.5" customHeight="1">
      <c r="A48" s="25"/>
      <c r="B48" s="10" t="s">
        <v>38</v>
      </c>
      <c r="C48" s="10"/>
      <c r="D48" s="10"/>
      <c r="E48" s="10"/>
      <c r="F48" s="10"/>
      <c r="G48" s="10"/>
      <c r="H48" s="24" t="s">
        <v>47</v>
      </c>
      <c r="I48" s="24"/>
      <c r="J48" s="24"/>
      <c r="K48" s="24"/>
      <c r="L48" s="24"/>
      <c r="M48" s="40"/>
      <c r="N48" s="24"/>
      <c r="O48" s="24"/>
      <c r="P48" s="181"/>
      <c r="Q48" s="24"/>
      <c r="R48" s="24"/>
      <c r="S48" s="25"/>
    </row>
    <row r="49" spans="1:19" ht="16.5" customHeight="1">
      <c r="A49" s="25"/>
      <c r="B49" s="10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80"/>
      <c r="Q49" s="10"/>
      <c r="R49" s="10"/>
      <c r="S49" s="25"/>
    </row>
    <row r="50" spans="1:19" ht="15.75" customHeight="1">
      <c r="A50" s="25"/>
      <c r="B50" s="10" t="s">
        <v>27</v>
      </c>
      <c r="C50" s="10"/>
      <c r="D50" s="116"/>
      <c r="E50" s="117"/>
      <c r="F50" s="117"/>
      <c r="G50" s="117"/>
      <c r="H50" s="35" t="s">
        <v>74</v>
      </c>
      <c r="I50" s="35"/>
      <c r="J50" s="35"/>
      <c r="K50" s="35"/>
      <c r="L50" s="35"/>
      <c r="M50" s="10"/>
      <c r="N50" s="10"/>
      <c r="O50" s="10"/>
      <c r="P50" s="160"/>
      <c r="Q50" s="10"/>
      <c r="R50" s="10"/>
      <c r="S50" s="25"/>
    </row>
    <row r="51" spans="1:19" ht="15.75" customHeight="1">
      <c r="A51" s="25"/>
      <c r="B51" s="10" t="s">
        <v>26</v>
      </c>
      <c r="C51" s="10"/>
      <c r="D51" s="116"/>
      <c r="E51" s="117"/>
      <c r="F51" s="117"/>
      <c r="G51" s="117"/>
      <c r="H51" s="35"/>
      <c r="I51" s="35"/>
      <c r="J51" s="35"/>
      <c r="K51" s="118"/>
      <c r="L51" s="118"/>
      <c r="M51" s="10"/>
      <c r="N51" s="10"/>
      <c r="O51" s="10"/>
      <c r="P51" s="160"/>
      <c r="Q51" s="10"/>
      <c r="R51" s="10"/>
      <c r="S51" s="25"/>
    </row>
    <row r="52" spans="1:19" ht="12.75">
      <c r="A52" s="25"/>
      <c r="B52" s="10"/>
      <c r="C52" s="10"/>
      <c r="D52" s="39"/>
      <c r="E52" s="10"/>
      <c r="F52" s="10"/>
      <c r="G52" s="10"/>
      <c r="H52" s="36"/>
      <c r="I52" s="36"/>
      <c r="J52" s="36"/>
      <c r="K52" s="36"/>
      <c r="L52" s="36"/>
      <c r="M52" s="10"/>
      <c r="N52" s="10"/>
      <c r="O52" s="10"/>
      <c r="P52" s="160"/>
      <c r="Q52" s="10"/>
      <c r="R52" s="10"/>
      <c r="S52" s="25"/>
    </row>
    <row r="53" spans="1:19" ht="0.75" customHeight="1">
      <c r="A53" s="25"/>
      <c r="B53" s="10"/>
      <c r="C53" s="10"/>
      <c r="D53" s="39"/>
      <c r="E53" s="10"/>
      <c r="F53" s="10"/>
      <c r="G53" s="10"/>
      <c r="H53" s="119"/>
      <c r="I53" s="36"/>
      <c r="J53" s="36"/>
      <c r="K53" s="36"/>
      <c r="L53" s="36"/>
      <c r="M53" s="10"/>
      <c r="N53" s="10"/>
      <c r="O53" s="10"/>
      <c r="P53" s="160"/>
      <c r="Q53" s="10"/>
      <c r="R53" s="10"/>
      <c r="S53" s="25"/>
    </row>
    <row r="54" spans="1:19" ht="14.25" customHeight="1" hidden="1">
      <c r="A54" s="25"/>
      <c r="B54" s="10"/>
      <c r="C54" s="10"/>
      <c r="D54" s="39"/>
      <c r="E54" s="10"/>
      <c r="F54" s="10"/>
      <c r="G54" s="10"/>
      <c r="H54" s="36"/>
      <c r="I54" s="36"/>
      <c r="J54" s="36"/>
      <c r="K54" s="36"/>
      <c r="L54" s="36"/>
      <c r="M54" s="10"/>
      <c r="N54" s="10"/>
      <c r="O54" s="10"/>
      <c r="P54" s="160"/>
      <c r="Q54" s="10"/>
      <c r="R54" s="10"/>
      <c r="S54" s="25"/>
    </row>
    <row r="55" spans="1:19" ht="13.5" customHeight="1" hidden="1">
      <c r="A55" s="25"/>
      <c r="B55" s="10"/>
      <c r="C55" s="10"/>
      <c r="D55" s="10"/>
      <c r="E55" s="10"/>
      <c r="F55" s="10"/>
      <c r="G55" s="10"/>
      <c r="H55" s="37"/>
      <c r="I55" s="37"/>
      <c r="J55" s="37"/>
      <c r="K55" s="37"/>
      <c r="L55" s="37"/>
      <c r="M55" s="10"/>
      <c r="N55" s="10"/>
      <c r="O55" s="10"/>
      <c r="P55" s="160"/>
      <c r="Q55" s="10"/>
      <c r="R55" s="10"/>
      <c r="S55" s="25"/>
    </row>
    <row r="56" spans="2:18" s="25" customFormat="1" ht="12.75" customHeight="1">
      <c r="B56" s="10" t="s">
        <v>14</v>
      </c>
      <c r="C56" s="39"/>
      <c r="D56" s="120"/>
      <c r="E56" s="121"/>
      <c r="F56" s="10"/>
      <c r="G56" s="10"/>
      <c r="H56" s="37"/>
      <c r="I56" s="37"/>
      <c r="J56" s="37"/>
      <c r="K56" s="37"/>
      <c r="L56" s="37"/>
      <c r="M56" s="10"/>
      <c r="N56" s="10"/>
      <c r="O56" s="10"/>
      <c r="P56" s="160"/>
      <c r="Q56" s="10"/>
      <c r="R56" s="10"/>
    </row>
    <row r="57" spans="1:18" s="25" customFormat="1" ht="9.75" customHeight="1">
      <c r="A57" s="122"/>
      <c r="B57" s="123" t="s">
        <v>20</v>
      </c>
      <c r="C57" s="10"/>
      <c r="D57" s="10"/>
      <c r="E57" s="124"/>
      <c r="F57" s="124"/>
      <c r="G57" s="125"/>
      <c r="H57" s="38"/>
      <c r="I57" s="38"/>
      <c r="J57" s="38"/>
      <c r="K57" s="38"/>
      <c r="L57" s="38"/>
      <c r="M57" s="10"/>
      <c r="N57" s="10"/>
      <c r="O57" s="10"/>
      <c r="P57" s="160"/>
      <c r="Q57" s="10"/>
      <c r="R57" s="10"/>
    </row>
    <row r="58" spans="2:18" s="25" customFormat="1" ht="12.75">
      <c r="B58" s="39"/>
      <c r="C58" s="10"/>
      <c r="D58" s="116"/>
      <c r="E58" s="38"/>
      <c r="F58" s="38"/>
      <c r="G58" s="38"/>
      <c r="H58" s="35"/>
      <c r="I58" s="35"/>
      <c r="J58" s="35"/>
      <c r="K58" s="35"/>
      <c r="L58" s="35"/>
      <c r="M58" s="10"/>
      <c r="N58" s="10"/>
      <c r="O58" s="10"/>
      <c r="P58" s="160"/>
      <c r="Q58" s="10"/>
      <c r="R58" s="10"/>
    </row>
    <row r="59" spans="2:18" s="25" customFormat="1" ht="12.75">
      <c r="B59" s="10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6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60"/>
      <c r="Q60" s="10"/>
      <c r="R60" s="10"/>
    </row>
    <row r="61" spans="2:18" s="25" customFormat="1" ht="12.75">
      <c r="B61" s="10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60"/>
      <c r="Q61" s="10"/>
      <c r="R61" s="10"/>
    </row>
    <row r="62" spans="2:18" s="25" customFormat="1" ht="12.75">
      <c r="B62" s="10"/>
      <c r="C62" s="10"/>
      <c r="D62" s="116"/>
      <c r="E62" s="38"/>
      <c r="F62" s="126"/>
      <c r="G62" s="126"/>
      <c r="H62" s="35"/>
      <c r="I62" s="35"/>
      <c r="J62" s="35"/>
      <c r="K62" s="35"/>
      <c r="L62" s="35"/>
      <c r="M62" s="10"/>
      <c r="N62" s="10"/>
      <c r="O62" s="10"/>
      <c r="P62" s="160"/>
      <c r="Q62" s="10"/>
      <c r="R62" s="10"/>
    </row>
    <row r="63" spans="1:18" s="25" customFormat="1" ht="18.75">
      <c r="A63" s="122"/>
      <c r="B63" s="122"/>
      <c r="C63" s="127"/>
      <c r="D63" s="127"/>
      <c r="E63" s="127"/>
      <c r="F63" s="127"/>
      <c r="G63" s="127"/>
      <c r="H63" s="39"/>
      <c r="I63" s="39"/>
      <c r="J63" s="39"/>
      <c r="K63" s="39"/>
      <c r="L63" s="39"/>
      <c r="M63" s="10"/>
      <c r="N63" s="10"/>
      <c r="O63" s="10"/>
      <c r="P63" s="160"/>
      <c r="Q63" s="10"/>
      <c r="R63" s="10"/>
    </row>
    <row r="64" spans="2:18" s="25" customFormat="1" ht="12.75">
      <c r="B64" s="10"/>
      <c r="C64" s="10"/>
      <c r="D64" s="116"/>
      <c r="E64" s="38"/>
      <c r="F64" s="38"/>
      <c r="G64" s="38"/>
      <c r="H64" s="35"/>
      <c r="I64" s="35"/>
      <c r="J64" s="35"/>
      <c r="K64" s="35"/>
      <c r="L64" s="35"/>
      <c r="M64" s="10"/>
      <c r="N64" s="10"/>
      <c r="O64" s="10"/>
      <c r="P64" s="16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6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60"/>
      <c r="Q66" s="10"/>
      <c r="R66" s="10"/>
    </row>
    <row r="67" spans="1:18" s="25" customFormat="1" ht="18.75">
      <c r="A67" s="128"/>
      <c r="B67" s="10"/>
      <c r="C67" s="10"/>
      <c r="D67" s="10"/>
      <c r="E67" s="125"/>
      <c r="F67" s="125"/>
      <c r="G67" s="125"/>
      <c r="H67" s="38"/>
      <c r="I67" s="38"/>
      <c r="J67" s="38"/>
      <c r="K67" s="38"/>
      <c r="L67" s="38"/>
      <c r="M67" s="10"/>
      <c r="N67" s="10"/>
      <c r="O67" s="10"/>
      <c r="P67" s="160"/>
      <c r="Q67" s="10"/>
      <c r="R67" s="10"/>
    </row>
    <row r="68" spans="2:18" s="25" customFormat="1" ht="12.75">
      <c r="B68" s="10"/>
      <c r="C68" s="10"/>
      <c r="D68" s="116"/>
      <c r="E68" s="117"/>
      <c r="F68" s="129"/>
      <c r="G68" s="129"/>
      <c r="H68" s="35"/>
      <c r="I68" s="35"/>
      <c r="J68" s="35"/>
      <c r="K68" s="35"/>
      <c r="L68" s="35"/>
      <c r="M68" s="10"/>
      <c r="N68" s="10"/>
      <c r="O68" s="10"/>
      <c r="P68" s="16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60"/>
      <c r="Q69" s="10"/>
      <c r="R69" s="10"/>
    </row>
    <row r="70" spans="2:18" s="25" customFormat="1" ht="12.75">
      <c r="B70" s="10"/>
      <c r="C70" s="10"/>
      <c r="D70" s="116"/>
      <c r="E70" s="117"/>
      <c r="F70" s="129"/>
      <c r="G70" s="129"/>
      <c r="H70" s="35"/>
      <c r="I70" s="35"/>
      <c r="J70" s="35"/>
      <c r="K70" s="35"/>
      <c r="L70" s="35"/>
      <c r="M70" s="10"/>
      <c r="N70" s="10"/>
      <c r="O70" s="10"/>
      <c r="P70" s="160"/>
      <c r="Q70" s="10"/>
      <c r="R70" s="10"/>
    </row>
    <row r="71" spans="1:18" s="25" customFormat="1" ht="18.75">
      <c r="A71" s="122"/>
      <c r="B71" s="122"/>
      <c r="C71" s="122"/>
      <c r="D71" s="122"/>
      <c r="E71" s="122"/>
      <c r="F71" s="122"/>
      <c r="G71" s="130"/>
      <c r="H71" s="131"/>
      <c r="I71" s="10"/>
      <c r="J71" s="10"/>
      <c r="K71" s="10"/>
      <c r="L71" s="10"/>
      <c r="M71" s="10"/>
      <c r="N71" s="10"/>
      <c r="O71" s="10"/>
      <c r="P71" s="160"/>
      <c r="Q71" s="10"/>
      <c r="R71" s="10"/>
    </row>
    <row r="72" spans="2:18" s="25" customFormat="1" ht="12.75"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60"/>
      <c r="Q72" s="10"/>
      <c r="R72" s="10"/>
    </row>
    <row r="73" spans="2:18" s="25" customFormat="1" ht="12.75">
      <c r="B73" s="10"/>
      <c r="C73" s="10"/>
      <c r="D73" s="116"/>
      <c r="E73" s="117"/>
      <c r="F73" s="117"/>
      <c r="G73" s="117"/>
      <c r="H73" s="35"/>
      <c r="I73" s="35"/>
      <c r="J73" s="35"/>
      <c r="K73" s="118"/>
      <c r="L73" s="118"/>
      <c r="M73" s="10"/>
      <c r="N73" s="10"/>
      <c r="O73" s="10"/>
      <c r="P73" s="160"/>
      <c r="Q73" s="10"/>
      <c r="R73" s="10"/>
    </row>
    <row r="74" spans="2:18" s="25" customFormat="1" ht="12.75">
      <c r="B74" s="10"/>
      <c r="C74" s="10"/>
      <c r="D74" s="39"/>
      <c r="E74" s="10"/>
      <c r="F74" s="10"/>
      <c r="G74" s="10"/>
      <c r="H74" s="36"/>
      <c r="I74" s="36"/>
      <c r="J74" s="36"/>
      <c r="K74" s="36"/>
      <c r="L74" s="36"/>
      <c r="M74" s="10"/>
      <c r="N74" s="10"/>
      <c r="O74" s="10"/>
      <c r="P74" s="182"/>
      <c r="Q74" s="10"/>
      <c r="R74" s="10"/>
    </row>
    <row r="75" s="25" customFormat="1" ht="12.75">
      <c r="P75" s="158"/>
    </row>
  </sheetData>
  <sheetProtection/>
  <mergeCells count="2">
    <mergeCell ref="C5:M5"/>
    <mergeCell ref="B10:R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AI76"/>
  <sheetViews>
    <sheetView zoomScalePageLayoutView="0" workbookViewId="0" topLeftCell="B37">
      <selection activeCell="H42" sqref="H42"/>
    </sheetView>
  </sheetViews>
  <sheetFormatPr defaultColWidth="9.00390625" defaultRowHeight="12.75"/>
  <cols>
    <col min="1" max="1" width="3.75390625" style="8" customWidth="1"/>
    <col min="2" max="2" width="7.375" style="8" customWidth="1"/>
    <col min="3" max="3" width="15.375" style="8" customWidth="1"/>
    <col min="4" max="4" width="7.875" style="8" customWidth="1"/>
    <col min="5" max="5" width="10.00390625" style="8" customWidth="1"/>
    <col min="6" max="6" width="9.125" style="8" customWidth="1"/>
    <col min="7" max="7" width="8.25390625" style="8" customWidth="1"/>
    <col min="8" max="8" width="16.625" style="8" customWidth="1"/>
    <col min="9" max="9" width="13.125" style="8" customWidth="1"/>
    <col min="10" max="10" width="14.625" style="8" customWidth="1"/>
    <col min="11" max="11" width="17.375" style="8" customWidth="1"/>
    <col min="12" max="12" width="18.00390625" style="8" customWidth="1"/>
    <col min="13" max="13" width="6.625" style="8" customWidth="1"/>
    <col min="14" max="14" width="14.00390625" style="8" customWidth="1"/>
    <col min="15" max="15" width="13.625" style="8" customWidth="1"/>
    <col min="16" max="16" width="14.125" style="158" customWidth="1"/>
    <col min="17" max="17" width="14.125" style="8" customWidth="1"/>
    <col min="18" max="18" width="17.00390625" style="8" customWidth="1"/>
    <col min="19" max="19" width="2.625" style="8" hidden="1" customWidth="1"/>
    <col min="20" max="20" width="15.125" style="8" customWidth="1"/>
    <col min="21" max="21" width="12.875" style="8" customWidth="1"/>
    <col min="22" max="22" width="11.75390625" style="8" customWidth="1"/>
    <col min="23" max="16384" width="9.125" style="8" customWidth="1"/>
  </cols>
  <sheetData>
    <row r="2" ht="12.75" hidden="1"/>
    <row r="3" ht="22.5">
      <c r="C3" s="63" t="s">
        <v>12</v>
      </c>
    </row>
    <row r="4" ht="12.75" hidden="1"/>
    <row r="5" spans="3:13" ht="22.5">
      <c r="C5" s="185" t="s">
        <v>26</v>
      </c>
      <c r="D5" s="186"/>
      <c r="E5" s="186"/>
      <c r="F5" s="186"/>
      <c r="G5" s="186"/>
      <c r="H5" s="186"/>
      <c r="I5" s="186"/>
      <c r="J5" s="186"/>
      <c r="K5" s="186"/>
      <c r="L5" s="186"/>
      <c r="M5" s="186"/>
    </row>
    <row r="6" spans="1:18" ht="6.75" customHeight="1">
      <c r="A6" s="25"/>
      <c r="B6" s="10"/>
      <c r="C6" s="10"/>
      <c r="D6" s="64"/>
      <c r="E6" s="26"/>
      <c r="F6" s="26"/>
      <c r="G6" s="26"/>
      <c r="H6" s="26"/>
      <c r="I6" s="26"/>
      <c r="J6" s="26"/>
      <c r="K6" s="9"/>
      <c r="L6" s="9"/>
      <c r="M6" s="9"/>
      <c r="N6" s="9"/>
      <c r="O6" s="9"/>
      <c r="P6" s="159"/>
      <c r="Q6" s="9"/>
      <c r="R6" s="10"/>
    </row>
    <row r="7" spans="1:19" ht="17.25" customHeight="1" thickBot="1">
      <c r="A7" s="25"/>
      <c r="B7" s="10"/>
      <c r="C7" s="10"/>
      <c r="D7" s="64" t="s">
        <v>100</v>
      </c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60"/>
      <c r="Q7" s="10"/>
      <c r="R7" s="10" t="s">
        <v>13</v>
      </c>
      <c r="S7" s="25"/>
    </row>
    <row r="8" spans="1:18" ht="144" customHeight="1" thickBot="1">
      <c r="A8" s="65" t="s">
        <v>0</v>
      </c>
      <c r="B8" s="66" t="s">
        <v>17</v>
      </c>
      <c r="C8" s="66" t="s">
        <v>1</v>
      </c>
      <c r="D8" s="11" t="s">
        <v>6</v>
      </c>
      <c r="E8" s="11" t="s">
        <v>2</v>
      </c>
      <c r="F8" s="11" t="s">
        <v>3</v>
      </c>
      <c r="G8" s="11" t="s">
        <v>4</v>
      </c>
      <c r="H8" s="11" t="s">
        <v>72</v>
      </c>
      <c r="I8" s="11" t="s">
        <v>101</v>
      </c>
      <c r="J8" s="11" t="s">
        <v>102</v>
      </c>
      <c r="K8" s="11" t="s">
        <v>103</v>
      </c>
      <c r="L8" s="11" t="s">
        <v>18</v>
      </c>
      <c r="M8" s="67" t="s">
        <v>10</v>
      </c>
      <c r="N8" s="11" t="s">
        <v>29</v>
      </c>
      <c r="O8" s="11" t="s">
        <v>31</v>
      </c>
      <c r="P8" s="161" t="s">
        <v>30</v>
      </c>
      <c r="Q8" s="54" t="s">
        <v>32</v>
      </c>
      <c r="R8" s="54" t="s">
        <v>33</v>
      </c>
    </row>
    <row r="9" spans="1:18" ht="22.5" customHeight="1" thickBot="1">
      <c r="A9" s="68">
        <v>1</v>
      </c>
      <c r="B9" s="69">
        <v>2</v>
      </c>
      <c r="C9" s="70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71">
        <v>13</v>
      </c>
      <c r="N9" s="12">
        <v>14</v>
      </c>
      <c r="O9" s="12">
        <v>15</v>
      </c>
      <c r="P9" s="162">
        <v>16</v>
      </c>
      <c r="Q9" s="55">
        <v>17</v>
      </c>
      <c r="R9" s="55">
        <v>18</v>
      </c>
    </row>
    <row r="10" spans="1:19" ht="17.25" customHeight="1" thickBot="1">
      <c r="A10" s="72" t="s">
        <v>7</v>
      </c>
      <c r="B10" s="187" t="s">
        <v>25</v>
      </c>
      <c r="C10" s="188"/>
      <c r="D10" s="188"/>
      <c r="E10" s="188"/>
      <c r="F10" s="188"/>
      <c r="G10" s="188"/>
      <c r="H10" s="188"/>
      <c r="I10" s="188"/>
      <c r="J10" s="188"/>
      <c r="K10" s="188"/>
      <c r="L10" s="188"/>
      <c r="M10" s="188"/>
      <c r="N10" s="188"/>
      <c r="O10" s="188"/>
      <c r="P10" s="188"/>
      <c r="Q10" s="188"/>
      <c r="R10" s="189"/>
      <c r="S10" s="25"/>
    </row>
    <row r="11" spans="1:19" ht="16.5" customHeight="1" hidden="1">
      <c r="A11" s="73"/>
      <c r="B11" s="13"/>
      <c r="C11" s="13"/>
      <c r="D11" s="74"/>
      <c r="E11" s="75"/>
      <c r="F11" s="75"/>
      <c r="G11" s="75"/>
      <c r="H11" s="27"/>
      <c r="I11" s="27"/>
      <c r="J11" s="27"/>
      <c r="K11" s="27"/>
      <c r="L11" s="27"/>
      <c r="M11" s="13"/>
      <c r="N11" s="13"/>
      <c r="O11" s="13"/>
      <c r="P11" s="163"/>
      <c r="Q11" s="56"/>
      <c r="R11" s="76"/>
      <c r="S11" s="25"/>
    </row>
    <row r="12" spans="1:19" ht="16.5" customHeight="1" hidden="1">
      <c r="A12" s="77"/>
      <c r="B12" s="1"/>
      <c r="C12" s="1"/>
      <c r="D12" s="52"/>
      <c r="E12" s="78"/>
      <c r="F12" s="78"/>
      <c r="G12" s="78"/>
      <c r="H12" s="28"/>
      <c r="I12" s="28"/>
      <c r="J12" s="28"/>
      <c r="K12" s="28"/>
      <c r="L12" s="28"/>
      <c r="M12" s="1"/>
      <c r="N12" s="1"/>
      <c r="O12" s="1"/>
      <c r="P12" s="164"/>
      <c r="Q12" s="57"/>
      <c r="R12" s="79"/>
      <c r="S12" s="25"/>
    </row>
    <row r="13" spans="1:19" ht="12.75" customHeight="1" hidden="1">
      <c r="A13" s="77"/>
      <c r="B13" s="1"/>
      <c r="C13" s="1"/>
      <c r="D13" s="52"/>
      <c r="E13" s="78"/>
      <c r="F13" s="46"/>
      <c r="G13" s="46"/>
      <c r="H13" s="28"/>
      <c r="I13" s="28"/>
      <c r="J13" s="28"/>
      <c r="K13" s="28"/>
      <c r="L13" s="28"/>
      <c r="M13" s="1"/>
      <c r="N13" s="1"/>
      <c r="O13" s="1"/>
      <c r="P13" s="164"/>
      <c r="Q13" s="57"/>
      <c r="R13" s="79"/>
      <c r="S13" s="25"/>
    </row>
    <row r="14" spans="1:19" ht="12.75" customHeight="1" hidden="1">
      <c r="A14" s="77"/>
      <c r="B14" s="1"/>
      <c r="C14" s="1"/>
      <c r="D14" s="52"/>
      <c r="E14" s="78"/>
      <c r="F14" s="46"/>
      <c r="G14" s="46"/>
      <c r="H14" s="28"/>
      <c r="I14" s="28"/>
      <c r="J14" s="28"/>
      <c r="K14" s="28"/>
      <c r="L14" s="28"/>
      <c r="M14" s="1"/>
      <c r="N14" s="1"/>
      <c r="O14" s="1"/>
      <c r="P14" s="164"/>
      <c r="Q14" s="57"/>
      <c r="R14" s="79"/>
      <c r="S14" s="25"/>
    </row>
    <row r="15" spans="1:19" ht="12.75" customHeight="1" hidden="1">
      <c r="A15" s="77"/>
      <c r="B15" s="1"/>
      <c r="C15" s="1"/>
      <c r="D15" s="52"/>
      <c r="E15" s="78"/>
      <c r="F15" s="46"/>
      <c r="G15" s="46"/>
      <c r="H15" s="28"/>
      <c r="I15" s="28"/>
      <c r="J15" s="28"/>
      <c r="K15" s="28"/>
      <c r="L15" s="28"/>
      <c r="M15" s="1"/>
      <c r="N15" s="1"/>
      <c r="O15" s="1"/>
      <c r="P15" s="164"/>
      <c r="Q15" s="57"/>
      <c r="R15" s="79"/>
      <c r="S15" s="25"/>
    </row>
    <row r="16" spans="1:19" s="83" customFormat="1" ht="20.25" customHeight="1" hidden="1">
      <c r="A16" s="80" t="s">
        <v>8</v>
      </c>
      <c r="B16" s="80" t="s">
        <v>11</v>
      </c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65"/>
      <c r="Q16" s="58"/>
      <c r="R16" s="81"/>
      <c r="S16" s="82"/>
    </row>
    <row r="17" spans="1:19" ht="18.75" customHeight="1" hidden="1">
      <c r="A17" s="77"/>
      <c r="B17" s="1" t="s">
        <v>9</v>
      </c>
      <c r="C17" s="1"/>
      <c r="D17" s="52"/>
      <c r="E17" s="78"/>
      <c r="F17" s="78"/>
      <c r="G17" s="78"/>
      <c r="H17" s="28"/>
      <c r="I17" s="28"/>
      <c r="J17" s="28"/>
      <c r="K17" s="28"/>
      <c r="L17" s="28"/>
      <c r="M17" s="1"/>
      <c r="N17" s="1"/>
      <c r="O17" s="1"/>
      <c r="P17" s="164"/>
      <c r="Q17" s="57"/>
      <c r="R17" s="79"/>
      <c r="S17" s="25"/>
    </row>
    <row r="18" spans="1:19" ht="15.75" customHeight="1" hidden="1">
      <c r="A18" s="77"/>
      <c r="B18" s="1"/>
      <c r="C18" s="1"/>
      <c r="D18" s="52"/>
      <c r="E18" s="78"/>
      <c r="F18" s="78"/>
      <c r="G18" s="78"/>
      <c r="H18" s="28"/>
      <c r="I18" s="28"/>
      <c r="J18" s="28"/>
      <c r="K18" s="28"/>
      <c r="L18" s="28"/>
      <c r="M18" s="1"/>
      <c r="N18" s="1"/>
      <c r="O18" s="1"/>
      <c r="P18" s="164"/>
      <c r="Q18" s="57"/>
      <c r="R18" s="79"/>
      <c r="S18" s="25"/>
    </row>
    <row r="19" spans="1:19" ht="16.5" customHeight="1" hidden="1">
      <c r="A19" s="77"/>
      <c r="B19" s="1"/>
      <c r="C19" s="1"/>
      <c r="D19" s="52"/>
      <c r="E19" s="78"/>
      <c r="F19" s="78"/>
      <c r="G19" s="78"/>
      <c r="H19" s="28"/>
      <c r="I19" s="28"/>
      <c r="J19" s="28"/>
      <c r="K19" s="28"/>
      <c r="L19" s="28"/>
      <c r="M19" s="1"/>
      <c r="N19" s="1"/>
      <c r="O19" s="1"/>
      <c r="P19" s="164"/>
      <c r="Q19" s="57"/>
      <c r="R19" s="79"/>
      <c r="S19" s="25"/>
    </row>
    <row r="20" spans="1:19" ht="10.5" customHeight="1">
      <c r="A20" s="84"/>
      <c r="B20" s="3"/>
      <c r="C20" s="3"/>
      <c r="D20" s="43"/>
      <c r="E20" s="85"/>
      <c r="F20" s="85"/>
      <c r="G20" s="85"/>
      <c r="H20" s="29"/>
      <c r="I20" s="29"/>
      <c r="J20" s="29"/>
      <c r="K20" s="29"/>
      <c r="L20" s="29"/>
      <c r="M20" s="3"/>
      <c r="N20" s="3"/>
      <c r="O20" s="3"/>
      <c r="P20" s="166"/>
      <c r="Q20" s="59"/>
      <c r="R20" s="86"/>
      <c r="S20" s="25"/>
    </row>
    <row r="21" spans="1:19" ht="16.5" customHeight="1" thickBot="1">
      <c r="A21" s="87" t="s">
        <v>21</v>
      </c>
      <c r="B21" s="15"/>
      <c r="C21" s="15"/>
      <c r="D21" s="88"/>
      <c r="E21" s="12"/>
      <c r="F21" s="12"/>
      <c r="G21" s="12"/>
      <c r="H21" s="30"/>
      <c r="I21" s="30"/>
      <c r="J21" s="30"/>
      <c r="K21" s="30"/>
      <c r="L21" s="30"/>
      <c r="M21" s="15"/>
      <c r="N21" s="15"/>
      <c r="O21" s="15"/>
      <c r="P21" s="167"/>
      <c r="Q21" s="60"/>
      <c r="R21" s="89"/>
      <c r="S21" s="25"/>
    </row>
    <row r="22" spans="1:18" s="92" customFormat="1" ht="26.25" customHeight="1" thickBot="1">
      <c r="A22" s="72" t="s">
        <v>8</v>
      </c>
      <c r="B22" s="90" t="s">
        <v>24</v>
      </c>
      <c r="C22" s="90"/>
      <c r="D22" s="90"/>
      <c r="E22" s="31"/>
      <c r="F22" s="31"/>
      <c r="G22" s="31"/>
      <c r="H22" s="31"/>
      <c r="I22" s="31"/>
      <c r="J22" s="31"/>
      <c r="K22" s="31"/>
      <c r="L22" s="31"/>
      <c r="M22" s="90"/>
      <c r="N22" s="16"/>
      <c r="O22" s="16"/>
      <c r="P22" s="168"/>
      <c r="Q22" s="61"/>
      <c r="R22" s="91"/>
    </row>
    <row r="23" spans="1:35" ht="67.5" customHeight="1" hidden="1">
      <c r="A23" s="50">
        <v>1</v>
      </c>
      <c r="B23" s="42" t="s">
        <v>15</v>
      </c>
      <c r="C23" s="51" t="s">
        <v>51</v>
      </c>
      <c r="D23" s="52" t="s">
        <v>34</v>
      </c>
      <c r="E23" s="44">
        <v>7000000</v>
      </c>
      <c r="F23" s="45">
        <v>41998</v>
      </c>
      <c r="G23" s="46" t="s">
        <v>28</v>
      </c>
      <c r="H23" s="32">
        <v>0</v>
      </c>
      <c r="I23" s="32"/>
      <c r="J23" s="32"/>
      <c r="K23" s="53">
        <f aca="true" t="shared" si="0" ref="K23:K36">H23+I23-J23</f>
        <v>0</v>
      </c>
      <c r="L23" s="47">
        <f aca="true" t="shared" si="1" ref="L23:L36">K23</f>
        <v>0</v>
      </c>
      <c r="M23" s="7"/>
      <c r="N23" s="7"/>
      <c r="O23" s="5"/>
      <c r="P23" s="169"/>
      <c r="Q23" s="6">
        <f aca="true" t="shared" si="2" ref="Q23:Q36">N23+O23-P23</f>
        <v>0</v>
      </c>
      <c r="R23" s="48">
        <f aca="true" t="shared" si="3" ref="R23:R36">K23+N23+O23-P23</f>
        <v>0</v>
      </c>
      <c r="S23" s="49"/>
      <c r="T23" s="49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</row>
    <row r="24" spans="1:35" ht="70.5" customHeight="1" hidden="1">
      <c r="A24" s="50">
        <v>2</v>
      </c>
      <c r="B24" s="42" t="s">
        <v>15</v>
      </c>
      <c r="C24" s="51" t="s">
        <v>39</v>
      </c>
      <c r="D24" s="52" t="s">
        <v>34</v>
      </c>
      <c r="E24" s="44">
        <v>1600000</v>
      </c>
      <c r="F24" s="45" t="s">
        <v>37</v>
      </c>
      <c r="G24" s="46" t="s">
        <v>28</v>
      </c>
      <c r="H24" s="32">
        <v>0</v>
      </c>
      <c r="I24" s="32"/>
      <c r="J24" s="32"/>
      <c r="K24" s="53">
        <f t="shared" si="0"/>
        <v>0</v>
      </c>
      <c r="L24" s="47">
        <f t="shared" si="1"/>
        <v>0</v>
      </c>
      <c r="M24" s="7"/>
      <c r="N24" s="7"/>
      <c r="O24" s="5"/>
      <c r="P24" s="169"/>
      <c r="Q24" s="6">
        <f t="shared" si="2"/>
        <v>0</v>
      </c>
      <c r="R24" s="48">
        <f t="shared" si="3"/>
        <v>0</v>
      </c>
      <c r="S24" s="49"/>
      <c r="T24" s="49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</row>
    <row r="25" spans="1:35" ht="70.5" customHeight="1">
      <c r="A25" s="50">
        <v>3</v>
      </c>
      <c r="B25" s="42" t="s">
        <v>15</v>
      </c>
      <c r="C25" s="51" t="s">
        <v>40</v>
      </c>
      <c r="D25" s="52" t="s">
        <v>34</v>
      </c>
      <c r="E25" s="44">
        <v>15000000</v>
      </c>
      <c r="F25" s="157" t="s">
        <v>70</v>
      </c>
      <c r="G25" s="46" t="s">
        <v>28</v>
      </c>
      <c r="H25" s="32">
        <v>839000</v>
      </c>
      <c r="I25" s="32"/>
      <c r="J25" s="32"/>
      <c r="K25" s="53">
        <f t="shared" si="0"/>
        <v>839000</v>
      </c>
      <c r="L25" s="47">
        <f t="shared" si="1"/>
        <v>839000</v>
      </c>
      <c r="M25" s="7"/>
      <c r="N25" s="7">
        <v>2939.37</v>
      </c>
      <c r="O25" s="5">
        <f>2605.66+2437.55+2605.66+2521.61+2605.66+1833.13+71.06+71.06</f>
        <v>14751.39</v>
      </c>
      <c r="P25" s="169">
        <f>2939.37+2605.66+2437.55+2605.66+2521.61+2605.66+1833.13+71.06</f>
        <v>17619.7</v>
      </c>
      <c r="Q25" s="6">
        <f t="shared" si="2"/>
        <v>71.05999999999767</v>
      </c>
      <c r="R25" s="48">
        <f t="shared" si="3"/>
        <v>839071.06</v>
      </c>
      <c r="S25" s="49"/>
      <c r="T25" s="49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</row>
    <row r="26" spans="1:35" ht="69" customHeight="1">
      <c r="A26" s="50">
        <v>4</v>
      </c>
      <c r="B26" s="42" t="s">
        <v>15</v>
      </c>
      <c r="C26" s="52" t="s">
        <v>41</v>
      </c>
      <c r="D26" s="52" t="s">
        <v>34</v>
      </c>
      <c r="E26" s="44">
        <v>6000000</v>
      </c>
      <c r="F26" s="157" t="s">
        <v>70</v>
      </c>
      <c r="G26" s="46" t="s">
        <v>28</v>
      </c>
      <c r="H26" s="32">
        <v>2184000</v>
      </c>
      <c r="I26" s="32"/>
      <c r="J26" s="32"/>
      <c r="K26" s="53">
        <f t="shared" si="0"/>
        <v>2184000</v>
      </c>
      <c r="L26" s="47">
        <f t="shared" si="1"/>
        <v>2184000</v>
      </c>
      <c r="M26" s="7"/>
      <c r="N26" s="7">
        <v>7651.48</v>
      </c>
      <c r="O26" s="5">
        <f>6782.79+6345.19+6782.79+6563.99+6782.79+4771.81+184.98+184.98</f>
        <v>38399.32000000001</v>
      </c>
      <c r="P26" s="169">
        <f>7651.48+6782.79+6345.19+6782.79+6563.99+6782.79+4771.81+184.98</f>
        <v>45865.82</v>
      </c>
      <c r="Q26" s="6">
        <f t="shared" si="2"/>
        <v>184.9800000000032</v>
      </c>
      <c r="R26" s="48">
        <f t="shared" si="3"/>
        <v>2184184.98</v>
      </c>
      <c r="S26" s="49"/>
      <c r="T26" s="49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</row>
    <row r="27" spans="1:35" ht="71.25" customHeight="1">
      <c r="A27" s="50">
        <v>5</v>
      </c>
      <c r="B27" s="42" t="s">
        <v>15</v>
      </c>
      <c r="C27" s="52" t="s">
        <v>43</v>
      </c>
      <c r="D27" s="52" t="s">
        <v>34</v>
      </c>
      <c r="E27" s="44">
        <v>11000000</v>
      </c>
      <c r="F27" s="45" t="s">
        <v>44</v>
      </c>
      <c r="G27" s="46" t="s">
        <v>28</v>
      </c>
      <c r="H27" s="32">
        <v>5350000</v>
      </c>
      <c r="I27" s="32"/>
      <c r="J27" s="32">
        <f>420000+820000+820000+820000+820000</f>
        <v>3700000</v>
      </c>
      <c r="K27" s="53">
        <f t="shared" si="0"/>
        <v>1650000</v>
      </c>
      <c r="L27" s="47">
        <f t="shared" si="1"/>
        <v>1650000</v>
      </c>
      <c r="M27" s="7"/>
      <c r="N27" s="7">
        <v>12495.55</v>
      </c>
      <c r="O27" s="5">
        <f>16068.36+12598.02+11532.07+8820.12+6520.92+3758.36</f>
        <v>59297.85</v>
      </c>
      <c r="P27" s="169">
        <f>12495.55+16068.36+12598.02+11532.07+8820.12+6520.92+3758.36</f>
        <v>71793.40000000001</v>
      </c>
      <c r="Q27" s="6">
        <f t="shared" si="2"/>
        <v>0</v>
      </c>
      <c r="R27" s="48">
        <f t="shared" si="3"/>
        <v>1650000.0000000002</v>
      </c>
      <c r="S27" s="49"/>
      <c r="T27" s="49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  <c r="AG27" s="25"/>
      <c r="AH27" s="25"/>
      <c r="AI27" s="25"/>
    </row>
    <row r="28" spans="1:35" ht="68.25" customHeight="1">
      <c r="A28" s="50">
        <v>6</v>
      </c>
      <c r="B28" s="42" t="s">
        <v>15</v>
      </c>
      <c r="C28" s="52" t="s">
        <v>45</v>
      </c>
      <c r="D28" s="52" t="s">
        <v>34</v>
      </c>
      <c r="E28" s="44">
        <v>10000000</v>
      </c>
      <c r="F28" s="45" t="s">
        <v>46</v>
      </c>
      <c r="G28" s="46" t="s">
        <v>28</v>
      </c>
      <c r="H28" s="32">
        <v>10000000</v>
      </c>
      <c r="I28" s="32"/>
      <c r="J28" s="32">
        <f>910000+910000+910000+910000+910000</f>
        <v>4550000</v>
      </c>
      <c r="K28" s="53">
        <f t="shared" si="0"/>
        <v>5450000</v>
      </c>
      <c r="L28" s="47">
        <f t="shared" si="1"/>
        <v>5450000</v>
      </c>
      <c r="M28" s="7"/>
      <c r="N28" s="7">
        <v>23356.16</v>
      </c>
      <c r="O28" s="5">
        <f>29871.58+24494.76+24036.92+20664.76+18475.76+12413.95</f>
        <v>129957.72999999998</v>
      </c>
      <c r="P28" s="169">
        <f>23356.16+29871.58+24494.76+24036.92+20664.76+18475.76+12413.95</f>
        <v>153313.89</v>
      </c>
      <c r="Q28" s="6">
        <f t="shared" si="2"/>
        <v>0</v>
      </c>
      <c r="R28" s="48">
        <f t="shared" si="3"/>
        <v>5450000.000000001</v>
      </c>
      <c r="S28" s="49"/>
      <c r="T28" s="49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  <c r="AG28" s="25"/>
      <c r="AH28" s="25"/>
      <c r="AI28" s="25"/>
    </row>
    <row r="29" spans="1:35" ht="66.75" customHeight="1">
      <c r="A29" s="50">
        <v>7</v>
      </c>
      <c r="B29" s="42" t="s">
        <v>15</v>
      </c>
      <c r="C29" s="52" t="s">
        <v>48</v>
      </c>
      <c r="D29" s="52" t="s">
        <v>34</v>
      </c>
      <c r="E29" s="44">
        <v>10000000</v>
      </c>
      <c r="F29" s="45" t="s">
        <v>49</v>
      </c>
      <c r="G29" s="46" t="s">
        <v>28</v>
      </c>
      <c r="H29" s="32">
        <v>10000000</v>
      </c>
      <c r="I29" s="32"/>
      <c r="J29" s="32">
        <f>526000+526000+526000+526000+789000</f>
        <v>2893000</v>
      </c>
      <c r="K29" s="53">
        <f t="shared" si="0"/>
        <v>7107000</v>
      </c>
      <c r="L29" s="47">
        <f t="shared" si="1"/>
        <v>7107000</v>
      </c>
      <c r="M29" s="7"/>
      <c r="N29" s="7">
        <v>23356.16</v>
      </c>
      <c r="O29" s="5">
        <f>30371.7+26418.27+26999.14+24627.2+23415.78+17112.65+4695.74+4695.74</f>
        <v>158336.21999999997</v>
      </c>
      <c r="P29" s="169">
        <f>23356.16+30371.7+26418.27+26999.14+24627.2+23415.78+17112.65+4695.74</f>
        <v>176996.63999999998</v>
      </c>
      <c r="Q29" s="6">
        <f t="shared" si="2"/>
        <v>4695.739999999991</v>
      </c>
      <c r="R29" s="48">
        <f t="shared" si="3"/>
        <v>7111695.74</v>
      </c>
      <c r="S29" s="49"/>
      <c r="T29" s="49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25"/>
      <c r="AI29" s="25"/>
    </row>
    <row r="30" spans="1:35" ht="66.75" customHeight="1">
      <c r="A30" s="50">
        <v>8</v>
      </c>
      <c r="B30" s="42" t="s">
        <v>15</v>
      </c>
      <c r="C30" s="52" t="s">
        <v>50</v>
      </c>
      <c r="D30" s="52" t="s">
        <v>34</v>
      </c>
      <c r="E30" s="44">
        <v>7000000</v>
      </c>
      <c r="F30" s="45" t="s">
        <v>49</v>
      </c>
      <c r="G30" s="46" t="s">
        <v>28</v>
      </c>
      <c r="H30" s="32">
        <v>7000000</v>
      </c>
      <c r="I30" s="32"/>
      <c r="J30" s="32">
        <f>389000+389000+389000+389000+389000</f>
        <v>1945000</v>
      </c>
      <c r="K30" s="53">
        <f t="shared" si="0"/>
        <v>5055000</v>
      </c>
      <c r="L30" s="47">
        <f t="shared" si="1"/>
        <v>5055000</v>
      </c>
      <c r="M30" s="7"/>
      <c r="N30" s="7">
        <v>16349.32</v>
      </c>
      <c r="O30" s="5">
        <f>21233.1+18388.6+18738.94+17024.41+16361.7+12978.59+6913.17+6913.17</f>
        <v>118551.68</v>
      </c>
      <c r="P30" s="169">
        <f>16349.32+21233.1+18388.6+18738.94+17024.41+16361.7+12978.59+6913.17</f>
        <v>127987.82999999999</v>
      </c>
      <c r="Q30" s="6">
        <f t="shared" si="2"/>
        <v>6913.170000000013</v>
      </c>
      <c r="R30" s="48">
        <f t="shared" si="3"/>
        <v>5061913.17</v>
      </c>
      <c r="S30" s="49"/>
      <c r="T30" s="49"/>
      <c r="U30" s="25"/>
      <c r="V30" s="25"/>
      <c r="W30" s="25"/>
      <c r="X30" s="25"/>
      <c r="Y30" s="25"/>
      <c r="Z30" s="25"/>
      <c r="AA30" s="25"/>
      <c r="AB30" s="25"/>
      <c r="AC30" s="25"/>
      <c r="AD30" s="25"/>
      <c r="AE30" s="25"/>
      <c r="AF30" s="25"/>
      <c r="AG30" s="25"/>
      <c r="AH30" s="25"/>
      <c r="AI30" s="25"/>
    </row>
    <row r="31" spans="1:35" ht="66.75" customHeight="1">
      <c r="A31" s="50">
        <v>9</v>
      </c>
      <c r="B31" s="42" t="s">
        <v>15</v>
      </c>
      <c r="C31" s="52" t="s">
        <v>52</v>
      </c>
      <c r="D31" s="52" t="s">
        <v>34</v>
      </c>
      <c r="E31" s="44">
        <v>6000000</v>
      </c>
      <c r="F31" s="45" t="s">
        <v>53</v>
      </c>
      <c r="G31" s="46" t="s">
        <v>28</v>
      </c>
      <c r="H31" s="32">
        <v>6000000</v>
      </c>
      <c r="I31" s="32"/>
      <c r="J31" s="32"/>
      <c r="K31" s="53">
        <f t="shared" si="0"/>
        <v>6000000</v>
      </c>
      <c r="L31" s="47">
        <f t="shared" si="1"/>
        <v>6000000</v>
      </c>
      <c r="M31" s="7"/>
      <c r="N31" s="7">
        <v>14013.7</v>
      </c>
      <c r="O31" s="5">
        <f>18634.05+17431.85+18634.05+18032.95+18634.05+17568.38+17786.89+17786.89</f>
        <v>144509.11</v>
      </c>
      <c r="P31" s="170">
        <f>14013.7+18634.05+17431.85+18634.05+18032.95+18634.05+17568.38+17786.89</f>
        <v>140735.91999999998</v>
      </c>
      <c r="Q31" s="6">
        <f t="shared" si="2"/>
        <v>17786.890000000014</v>
      </c>
      <c r="R31" s="48">
        <f t="shared" si="3"/>
        <v>6017786.890000001</v>
      </c>
      <c r="S31" s="49"/>
      <c r="T31" s="49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</row>
    <row r="32" spans="1:35" ht="66.75" customHeight="1">
      <c r="A32" s="50">
        <v>10</v>
      </c>
      <c r="B32" s="132" t="s">
        <v>15</v>
      </c>
      <c r="C32" s="43" t="s">
        <v>54</v>
      </c>
      <c r="D32" s="43" t="s">
        <v>34</v>
      </c>
      <c r="E32" s="2">
        <v>10000000</v>
      </c>
      <c r="F32" s="93" t="s">
        <v>55</v>
      </c>
      <c r="G32" s="133" t="s">
        <v>28</v>
      </c>
      <c r="H32" s="6">
        <v>10000000</v>
      </c>
      <c r="I32" s="6"/>
      <c r="J32" s="6"/>
      <c r="K32" s="47">
        <f t="shared" si="0"/>
        <v>10000000</v>
      </c>
      <c r="L32" s="47">
        <f t="shared" si="1"/>
        <v>10000000</v>
      </c>
      <c r="M32" s="7"/>
      <c r="N32" s="7">
        <v>23356.16</v>
      </c>
      <c r="O32" s="134">
        <f>31056.75+29053.09+31056.75+30054.92+31056.75+29280.63+29644.81+29644.81</f>
        <v>240848.51</v>
      </c>
      <c r="P32" s="171">
        <f>23356.16+31056.75+29053.09+31056.75+30054.92+31056.75+29280.63+29644.81</f>
        <v>234559.86</v>
      </c>
      <c r="Q32" s="6">
        <f t="shared" si="2"/>
        <v>29644.809999999998</v>
      </c>
      <c r="R32" s="48">
        <f t="shared" si="3"/>
        <v>10029644.81</v>
      </c>
      <c r="S32" s="49"/>
      <c r="T32" s="49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</row>
    <row r="33" spans="1:35" ht="66.75" customHeight="1">
      <c r="A33" s="41">
        <v>11</v>
      </c>
      <c r="B33" s="132" t="s">
        <v>15</v>
      </c>
      <c r="C33" s="52" t="s">
        <v>58</v>
      </c>
      <c r="D33" s="43" t="s">
        <v>34</v>
      </c>
      <c r="E33" s="44">
        <v>10000000</v>
      </c>
      <c r="F33" s="45"/>
      <c r="G33" s="133" t="s">
        <v>28</v>
      </c>
      <c r="H33" s="44">
        <v>10000000</v>
      </c>
      <c r="I33" s="44"/>
      <c r="J33" s="32"/>
      <c r="K33" s="47">
        <f t="shared" si="0"/>
        <v>10000000</v>
      </c>
      <c r="L33" s="47">
        <f t="shared" si="1"/>
        <v>10000000</v>
      </c>
      <c r="M33" s="4"/>
      <c r="N33" s="4">
        <v>23356.16</v>
      </c>
      <c r="O33" s="5">
        <f>31056.75+29053.09+31056.75+30054.92+31056.75+29280.63+29644.81+29644.81</f>
        <v>240848.51</v>
      </c>
      <c r="P33" s="170">
        <f>23356.16+31056.75+29053.09+31056.75+30054.92+31056.75+29280.63+29644.81</f>
        <v>234559.86</v>
      </c>
      <c r="Q33" s="6">
        <f t="shared" si="2"/>
        <v>29644.809999999998</v>
      </c>
      <c r="R33" s="48">
        <f t="shared" si="3"/>
        <v>10029644.81</v>
      </c>
      <c r="S33" s="49"/>
      <c r="T33" s="49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25"/>
      <c r="AG33" s="25"/>
      <c r="AH33" s="25"/>
      <c r="AI33" s="25"/>
    </row>
    <row r="34" spans="1:35" ht="66.75" customHeight="1">
      <c r="A34" s="41">
        <v>12</v>
      </c>
      <c r="B34" s="132" t="s">
        <v>15</v>
      </c>
      <c r="C34" s="52" t="s">
        <v>59</v>
      </c>
      <c r="D34" s="43" t="s">
        <v>34</v>
      </c>
      <c r="E34" s="44">
        <v>15000000</v>
      </c>
      <c r="F34" s="45"/>
      <c r="G34" s="46" t="s">
        <v>28</v>
      </c>
      <c r="H34" s="44">
        <v>0</v>
      </c>
      <c r="I34" s="44"/>
      <c r="J34" s="32"/>
      <c r="K34" s="53">
        <f t="shared" si="0"/>
        <v>0</v>
      </c>
      <c r="L34" s="53">
        <f t="shared" si="1"/>
        <v>0</v>
      </c>
      <c r="M34" s="4"/>
      <c r="N34" s="4">
        <v>6893.68</v>
      </c>
      <c r="O34" s="5">
        <v>0</v>
      </c>
      <c r="P34" s="170">
        <v>6893.68</v>
      </c>
      <c r="Q34" s="6">
        <f t="shared" si="2"/>
        <v>0</v>
      </c>
      <c r="R34" s="48">
        <f t="shared" si="3"/>
        <v>0</v>
      </c>
      <c r="S34" s="49"/>
      <c r="T34" s="49"/>
      <c r="U34" s="25"/>
      <c r="V34" s="25"/>
      <c r="W34" s="25"/>
      <c r="X34" s="25"/>
      <c r="Y34" s="25"/>
      <c r="Z34" s="25"/>
      <c r="AA34" s="25"/>
      <c r="AB34" s="25"/>
      <c r="AC34" s="25"/>
      <c r="AD34" s="25"/>
      <c r="AE34" s="25"/>
      <c r="AF34" s="25"/>
      <c r="AG34" s="25"/>
      <c r="AH34" s="25"/>
      <c r="AI34" s="25"/>
    </row>
    <row r="35" spans="1:35" ht="66.75" customHeight="1">
      <c r="A35" s="50">
        <v>13</v>
      </c>
      <c r="B35" s="42" t="s">
        <v>15</v>
      </c>
      <c r="C35" s="52" t="s">
        <v>62</v>
      </c>
      <c r="D35" s="52" t="s">
        <v>34</v>
      </c>
      <c r="E35" s="44">
        <v>65000</v>
      </c>
      <c r="F35" s="45" t="s">
        <v>63</v>
      </c>
      <c r="G35" s="46" t="s">
        <v>28</v>
      </c>
      <c r="H35" s="137">
        <v>6500000</v>
      </c>
      <c r="I35" s="137"/>
      <c r="J35" s="138"/>
      <c r="K35" s="53">
        <f t="shared" si="0"/>
        <v>6500000</v>
      </c>
      <c r="L35" s="53">
        <f t="shared" si="1"/>
        <v>6500000</v>
      </c>
      <c r="M35" s="139"/>
      <c r="N35" s="139">
        <v>15181.51</v>
      </c>
      <c r="O35" s="5">
        <f>20186.89+18884.51+20186.89+19535.7+20186.89+19032.41+19269.13+19269.13</f>
        <v>156551.55</v>
      </c>
      <c r="P35" s="172">
        <f>15181.51+20186.89+18884.51+20186.89+19535.7+20186.89+19032.41+19269.13</f>
        <v>152463.93</v>
      </c>
      <c r="Q35" s="32">
        <f t="shared" si="2"/>
        <v>19269.130000000005</v>
      </c>
      <c r="R35" s="32">
        <f t="shared" si="3"/>
        <v>6519269.13</v>
      </c>
      <c r="S35" s="49"/>
      <c r="T35" s="49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  <c r="AI35" s="25"/>
    </row>
    <row r="36" spans="1:35" ht="66.75" customHeight="1">
      <c r="A36" s="50">
        <v>14</v>
      </c>
      <c r="B36" s="42" t="s">
        <v>15</v>
      </c>
      <c r="C36" s="52" t="s">
        <v>69</v>
      </c>
      <c r="D36" s="52" t="s">
        <v>34</v>
      </c>
      <c r="E36" s="44">
        <v>12400</v>
      </c>
      <c r="F36" s="45" t="s">
        <v>63</v>
      </c>
      <c r="G36" s="46" t="s">
        <v>28</v>
      </c>
      <c r="H36" s="137">
        <v>12400000</v>
      </c>
      <c r="I36" s="137"/>
      <c r="J36" s="138"/>
      <c r="K36" s="153">
        <f t="shared" si="0"/>
        <v>12400000</v>
      </c>
      <c r="L36" s="153">
        <f t="shared" si="1"/>
        <v>12400000</v>
      </c>
      <c r="M36" s="139"/>
      <c r="N36" s="139">
        <v>7473.97</v>
      </c>
      <c r="O36" s="154">
        <f>38510.37+36025.83+38510.37+37268.1+38510.37+36307.98+36759.56+36759.56</f>
        <v>298652.14</v>
      </c>
      <c r="P36" s="172">
        <f>7473.97+38510.37+36025.83+38510.37+37268.1+38510.37+36307.98+36759.56</f>
        <v>269366.55000000005</v>
      </c>
      <c r="Q36" s="32">
        <f t="shared" si="2"/>
        <v>36759.55999999994</v>
      </c>
      <c r="R36" s="32">
        <f t="shared" si="3"/>
        <v>12436759.56</v>
      </c>
      <c r="S36" s="49"/>
      <c r="T36" s="49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  <c r="AF36" s="25"/>
      <c r="AG36" s="25"/>
      <c r="AH36" s="25"/>
      <c r="AI36" s="25"/>
    </row>
    <row r="37" spans="1:35" ht="66.75" customHeight="1">
      <c r="A37" s="50"/>
      <c r="B37" s="42" t="s">
        <v>15</v>
      </c>
      <c r="C37" s="52" t="s">
        <v>104</v>
      </c>
      <c r="D37" s="52" t="s">
        <v>34</v>
      </c>
      <c r="E37" s="44">
        <v>24800</v>
      </c>
      <c r="F37" s="45" t="s">
        <v>105</v>
      </c>
      <c r="G37" s="46" t="s">
        <v>28</v>
      </c>
      <c r="H37" s="137"/>
      <c r="I37" s="137">
        <v>24800000</v>
      </c>
      <c r="J37" s="138"/>
      <c r="K37" s="153">
        <f>H37+I37-J37</f>
        <v>24800000</v>
      </c>
      <c r="L37" s="153">
        <f>K37</f>
        <v>24800000</v>
      </c>
      <c r="M37" s="139"/>
      <c r="N37" s="139"/>
      <c r="O37" s="154">
        <v>54546.45</v>
      </c>
      <c r="P37" s="172"/>
      <c r="Q37" s="32">
        <f>N37+O37-P37</f>
        <v>54546.45</v>
      </c>
      <c r="R37" s="32">
        <f>K37+N37+O37-P37</f>
        <v>24854546.45</v>
      </c>
      <c r="S37" s="49"/>
      <c r="T37" s="49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</row>
    <row r="38" spans="1:35" ht="15.75" customHeight="1" thickBot="1">
      <c r="A38" s="95" t="s">
        <v>21</v>
      </c>
      <c r="B38" s="18"/>
      <c r="C38" s="18"/>
      <c r="D38" s="96"/>
      <c r="E38" s="97"/>
      <c r="F38" s="98"/>
      <c r="G38" s="98"/>
      <c r="H38" s="136">
        <f aca="true" t="shared" si="4" ref="H38:S38">H23+H24+H25+H26+H27+H28+H29+H30+H31+H32+H33+H34+H35+H36+H37</f>
        <v>80273000</v>
      </c>
      <c r="I38" s="136">
        <f t="shared" si="4"/>
        <v>24800000</v>
      </c>
      <c r="J38" s="136">
        <f t="shared" si="4"/>
        <v>13088000</v>
      </c>
      <c r="K38" s="136">
        <f t="shared" si="4"/>
        <v>91985000</v>
      </c>
      <c r="L38" s="136">
        <f t="shared" si="4"/>
        <v>91985000</v>
      </c>
      <c r="M38" s="136">
        <f t="shared" si="4"/>
        <v>0</v>
      </c>
      <c r="N38" s="136">
        <f t="shared" si="4"/>
        <v>176423.22</v>
      </c>
      <c r="O38" s="136">
        <f t="shared" si="4"/>
        <v>1655250.4599999997</v>
      </c>
      <c r="P38" s="136">
        <f t="shared" si="4"/>
        <v>1632157.0799999998</v>
      </c>
      <c r="Q38" s="136">
        <f t="shared" si="4"/>
        <v>199516.59999999998</v>
      </c>
      <c r="R38" s="136">
        <f t="shared" si="4"/>
        <v>92184516.60000001</v>
      </c>
      <c r="S38" s="136">
        <f t="shared" si="4"/>
        <v>0</v>
      </c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  <c r="AG38" s="25"/>
      <c r="AH38" s="25"/>
      <c r="AI38" s="25"/>
    </row>
    <row r="39" spans="1:19" ht="16.5" customHeight="1" thickBot="1">
      <c r="A39" s="141" t="s">
        <v>19</v>
      </c>
      <c r="B39" s="142" t="s">
        <v>23</v>
      </c>
      <c r="C39" s="142"/>
      <c r="D39" s="142"/>
      <c r="E39" s="142"/>
      <c r="F39" s="142"/>
      <c r="G39" s="20"/>
      <c r="H39" s="10"/>
      <c r="I39" s="10"/>
      <c r="J39" s="10"/>
      <c r="K39" s="10"/>
      <c r="L39" s="99"/>
      <c r="M39" s="10"/>
      <c r="N39" s="10"/>
      <c r="O39" s="10"/>
      <c r="P39" s="174"/>
      <c r="Q39" s="10"/>
      <c r="R39" s="147"/>
      <c r="S39" s="25"/>
    </row>
    <row r="40" spans="1:19" ht="69" customHeight="1">
      <c r="A40" s="144">
        <v>1</v>
      </c>
      <c r="B40" s="42" t="s">
        <v>23</v>
      </c>
      <c r="C40" s="145" t="s">
        <v>60</v>
      </c>
      <c r="D40" s="132" t="s">
        <v>61</v>
      </c>
      <c r="E40" s="17">
        <v>9000000</v>
      </c>
      <c r="F40" s="132" t="s">
        <v>68</v>
      </c>
      <c r="G40" s="133" t="s">
        <v>28</v>
      </c>
      <c r="H40" s="3">
        <v>9000000</v>
      </c>
      <c r="I40" s="156"/>
      <c r="J40" s="3"/>
      <c r="K40" s="6">
        <f>H40+I40-J40</f>
        <v>9000000</v>
      </c>
      <c r="L40" s="6">
        <f>K40</f>
        <v>9000000</v>
      </c>
      <c r="M40" s="3"/>
      <c r="N40" s="3">
        <v>0</v>
      </c>
      <c r="O40" s="3">
        <f>302459.01+144836.07+140163.93+144836.07+140163.93+136229.51+137213.11</f>
        <v>1145901.63</v>
      </c>
      <c r="P40" s="175">
        <f>156270.49+146188.52+144836.07+140163.93+144836.07+140163.93+136229.51+137213.11</f>
        <v>1145901.63</v>
      </c>
      <c r="Q40" s="6">
        <f>N40+O40-P40</f>
        <v>0</v>
      </c>
      <c r="R40" s="6">
        <f>K40+N40+O40-P40</f>
        <v>9000000</v>
      </c>
      <c r="S40" s="25"/>
    </row>
    <row r="41" spans="1:19" ht="69" customHeight="1">
      <c r="A41" s="152">
        <v>2</v>
      </c>
      <c r="B41" s="42" t="s">
        <v>23</v>
      </c>
      <c r="C41" s="145" t="s">
        <v>66</v>
      </c>
      <c r="D41" s="132" t="s">
        <v>61</v>
      </c>
      <c r="E41" s="17">
        <v>5000000</v>
      </c>
      <c r="F41" s="132" t="s">
        <v>67</v>
      </c>
      <c r="G41" s="133" t="s">
        <v>28</v>
      </c>
      <c r="H41" s="3">
        <v>5000000</v>
      </c>
      <c r="I41" s="156"/>
      <c r="J41" s="3"/>
      <c r="K41" s="6">
        <f>H41+I41-J41</f>
        <v>5000000</v>
      </c>
      <c r="L41" s="6">
        <f>K41</f>
        <v>5000000</v>
      </c>
      <c r="M41" s="3"/>
      <c r="N41" s="3">
        <v>0</v>
      </c>
      <c r="O41" s="17">
        <f>134426.23+69453.55+67213.11+69453.55+67213.11+69453.55+69453.55</f>
        <v>546666.65</v>
      </c>
      <c r="P41" s="175">
        <f>69453.55+64972.68+69453.55+67213.11+69453.55+67213.11+69453.55+69453.55</f>
        <v>546666.65</v>
      </c>
      <c r="Q41" s="6">
        <f>N41+O41-P41</f>
        <v>0</v>
      </c>
      <c r="R41" s="6">
        <f>K41+N41+O41-P41</f>
        <v>5000000</v>
      </c>
      <c r="S41" s="25"/>
    </row>
    <row r="42" spans="1:19" ht="69" customHeight="1">
      <c r="A42" s="152">
        <v>2</v>
      </c>
      <c r="B42" s="42" t="s">
        <v>23</v>
      </c>
      <c r="C42" s="145" t="s">
        <v>84</v>
      </c>
      <c r="D42" s="132" t="s">
        <v>61</v>
      </c>
      <c r="E42" s="17"/>
      <c r="F42" s="132" t="s">
        <v>122</v>
      </c>
      <c r="G42" s="133" t="s">
        <v>28</v>
      </c>
      <c r="H42" s="3"/>
      <c r="I42" s="156">
        <v>10000000</v>
      </c>
      <c r="J42" s="3"/>
      <c r="K42" s="6">
        <f>H42+I42-J42</f>
        <v>10000000</v>
      </c>
      <c r="L42" s="6">
        <f>K42</f>
        <v>10000000</v>
      </c>
      <c r="M42" s="3"/>
      <c r="N42" s="3">
        <v>0</v>
      </c>
      <c r="O42" s="3">
        <f>110420.77+155592.9+150573.77+152054.65+152459.02</f>
        <v>721101.11</v>
      </c>
      <c r="P42" s="175">
        <f>110420.77+155592.9+150573.77+152054.65+152459.02</f>
        <v>721101.11</v>
      </c>
      <c r="Q42" s="6">
        <f>N42+O42-P42</f>
        <v>0</v>
      </c>
      <c r="R42" s="6">
        <f>K42+N42+O42-P42</f>
        <v>10000000</v>
      </c>
      <c r="S42" s="25"/>
    </row>
    <row r="43" spans="1:19" ht="16.5" customHeight="1" thickBot="1">
      <c r="A43" s="95" t="s">
        <v>21</v>
      </c>
      <c r="B43" s="143"/>
      <c r="C43" s="143"/>
      <c r="D43" s="14"/>
      <c r="E43" s="14"/>
      <c r="F43" s="14"/>
      <c r="G43" s="14"/>
      <c r="H43" s="1">
        <f>H40+H41+H42</f>
        <v>14000000</v>
      </c>
      <c r="I43" s="1">
        <f aca="true" t="shared" si="5" ref="I43:S43">I40+I41+I42</f>
        <v>10000000</v>
      </c>
      <c r="J43" s="1">
        <f t="shared" si="5"/>
        <v>0</v>
      </c>
      <c r="K43" s="1">
        <f t="shared" si="5"/>
        <v>24000000</v>
      </c>
      <c r="L43" s="1">
        <f t="shared" si="5"/>
        <v>24000000</v>
      </c>
      <c r="M43" s="1">
        <f t="shared" si="5"/>
        <v>0</v>
      </c>
      <c r="N43" s="1">
        <f t="shared" si="5"/>
        <v>0</v>
      </c>
      <c r="O43" s="1">
        <f t="shared" si="5"/>
        <v>2413669.3899999997</v>
      </c>
      <c r="P43" s="164">
        <f t="shared" si="5"/>
        <v>2413669.3899999997</v>
      </c>
      <c r="Q43" s="1">
        <f t="shared" si="5"/>
        <v>0</v>
      </c>
      <c r="R43" s="1">
        <f t="shared" si="5"/>
        <v>24000000</v>
      </c>
      <c r="S43" s="1">
        <f t="shared" si="5"/>
        <v>0</v>
      </c>
    </row>
    <row r="44" spans="1:35" s="83" customFormat="1" ht="18" customHeight="1" thickBot="1">
      <c r="A44" s="101" t="s">
        <v>5</v>
      </c>
      <c r="B44" s="102" t="s">
        <v>22</v>
      </c>
      <c r="C44" s="102"/>
      <c r="D44" s="148"/>
      <c r="E44" s="148"/>
      <c r="F44" s="148"/>
      <c r="G44" s="148"/>
      <c r="H44" s="148"/>
      <c r="I44" s="143"/>
      <c r="J44" s="143"/>
      <c r="K44" s="143"/>
      <c r="L44" s="143"/>
      <c r="M44" s="143"/>
      <c r="N44" s="143"/>
      <c r="O44" s="143"/>
      <c r="P44" s="176"/>
      <c r="Q44" s="143"/>
      <c r="R44" s="149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</row>
    <row r="45" spans="1:35" s="83" customFormat="1" ht="69.75" customHeight="1" hidden="1">
      <c r="A45" s="101"/>
      <c r="B45" s="103"/>
      <c r="C45" s="104"/>
      <c r="D45" s="104"/>
      <c r="E45" s="105"/>
      <c r="F45" s="104"/>
      <c r="G45" s="46"/>
      <c r="H45" s="62"/>
      <c r="I45" s="62"/>
      <c r="J45" s="33"/>
      <c r="K45" s="62"/>
      <c r="L45" s="32"/>
      <c r="M45" s="21"/>
      <c r="N45" s="21"/>
      <c r="O45" s="21"/>
      <c r="P45" s="177"/>
      <c r="Q45" s="62"/>
      <c r="R45" s="62"/>
      <c r="S45" s="82"/>
      <c r="T45" s="106"/>
      <c r="U45" s="106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</row>
    <row r="46" spans="1:35" s="83" customFormat="1" ht="18" customHeight="1" thickBot="1">
      <c r="A46" s="107" t="s">
        <v>21</v>
      </c>
      <c r="B46" s="108"/>
      <c r="C46" s="109"/>
      <c r="D46" s="109"/>
      <c r="E46" s="110"/>
      <c r="F46" s="111"/>
      <c r="G46" s="104"/>
      <c r="H46" s="34">
        <f>H45</f>
        <v>0</v>
      </c>
      <c r="I46" s="34">
        <f>I45</f>
        <v>0</v>
      </c>
      <c r="J46" s="34">
        <f>J45</f>
        <v>0</v>
      </c>
      <c r="K46" s="34">
        <f>K45</f>
        <v>0</v>
      </c>
      <c r="L46" s="34">
        <f>L45</f>
        <v>0</v>
      </c>
      <c r="M46" s="22">
        <v>3</v>
      </c>
      <c r="N46" s="22">
        <v>0</v>
      </c>
      <c r="O46" s="22">
        <v>0</v>
      </c>
      <c r="P46" s="178">
        <v>0</v>
      </c>
      <c r="Q46" s="34">
        <f>K46</f>
        <v>0</v>
      </c>
      <c r="R46" s="34">
        <f>Q46</f>
        <v>0</v>
      </c>
      <c r="S46" s="82"/>
      <c r="T46" s="11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</row>
    <row r="47" spans="1:20" ht="16.5" customHeight="1" thickBot="1">
      <c r="A47" s="113"/>
      <c r="B47" s="20" t="s">
        <v>16</v>
      </c>
      <c r="C47" s="19"/>
      <c r="D47" s="19"/>
      <c r="E47" s="19"/>
      <c r="F47" s="100"/>
      <c r="G47" s="114"/>
      <c r="H47" s="23">
        <f>H38+H45+H43</f>
        <v>94273000</v>
      </c>
      <c r="I47" s="23">
        <f aca="true" t="shared" si="6" ref="I47:R47">I38+I45+I43</f>
        <v>34800000</v>
      </c>
      <c r="J47" s="23">
        <f t="shared" si="6"/>
        <v>13088000</v>
      </c>
      <c r="K47" s="23">
        <f>K38+K45+K43</f>
        <v>115985000</v>
      </c>
      <c r="L47" s="23">
        <f t="shared" si="6"/>
        <v>115985000</v>
      </c>
      <c r="M47" s="23">
        <f t="shared" si="6"/>
        <v>0</v>
      </c>
      <c r="N47" s="23">
        <f t="shared" si="6"/>
        <v>176423.22</v>
      </c>
      <c r="O47" s="23">
        <f t="shared" si="6"/>
        <v>4068919.8499999996</v>
      </c>
      <c r="P47" s="179">
        <f t="shared" si="6"/>
        <v>4045826.4699999997</v>
      </c>
      <c r="Q47" s="23">
        <f t="shared" si="6"/>
        <v>199516.59999999998</v>
      </c>
      <c r="R47" s="23">
        <f t="shared" si="6"/>
        <v>116184516.60000001</v>
      </c>
      <c r="S47" s="25"/>
      <c r="T47" s="115"/>
    </row>
    <row r="48" spans="1:19" ht="16.5" customHeight="1">
      <c r="A48" s="25"/>
      <c r="B48" s="82"/>
      <c r="C48" s="10"/>
      <c r="D48" s="10"/>
      <c r="E48" s="10"/>
      <c r="F48" s="10"/>
      <c r="G48" s="10"/>
      <c r="H48" s="24"/>
      <c r="I48" s="24"/>
      <c r="J48" s="24"/>
      <c r="K48" s="24"/>
      <c r="L48" s="24"/>
      <c r="M48" s="40"/>
      <c r="N48" s="24"/>
      <c r="O48" s="24"/>
      <c r="P48" s="180"/>
      <c r="Q48" s="24"/>
      <c r="R48" s="24"/>
      <c r="S48" s="25"/>
    </row>
    <row r="49" spans="1:19" ht="16.5" customHeight="1">
      <c r="A49" s="25"/>
      <c r="B49" s="10" t="s">
        <v>38</v>
      </c>
      <c r="C49" s="10"/>
      <c r="D49" s="10"/>
      <c r="E49" s="10"/>
      <c r="F49" s="10"/>
      <c r="G49" s="10"/>
      <c r="H49" s="24" t="s">
        <v>47</v>
      </c>
      <c r="I49" s="24"/>
      <c r="J49" s="24"/>
      <c r="K49" s="24"/>
      <c r="L49" s="24"/>
      <c r="M49" s="40"/>
      <c r="N49" s="24"/>
      <c r="O49" s="24"/>
      <c r="P49" s="181"/>
      <c r="Q49" s="24"/>
      <c r="R49" s="24"/>
      <c r="S49" s="25"/>
    </row>
    <row r="50" spans="1:19" ht="16.5" customHeight="1">
      <c r="A50" s="25"/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80"/>
      <c r="Q50" s="10"/>
      <c r="R50" s="10"/>
      <c r="S50" s="25"/>
    </row>
    <row r="51" spans="1:19" ht="15.75" customHeight="1">
      <c r="A51" s="25"/>
      <c r="B51" s="10" t="s">
        <v>27</v>
      </c>
      <c r="C51" s="10"/>
      <c r="D51" s="116"/>
      <c r="E51" s="117"/>
      <c r="F51" s="117"/>
      <c r="G51" s="117"/>
      <c r="H51" s="35" t="s">
        <v>74</v>
      </c>
      <c r="I51" s="35"/>
      <c r="J51" s="35"/>
      <c r="K51" s="35"/>
      <c r="L51" s="35"/>
      <c r="M51" s="10"/>
      <c r="N51" s="10"/>
      <c r="O51" s="10"/>
      <c r="P51" s="160"/>
      <c r="Q51" s="10"/>
      <c r="R51" s="10"/>
      <c r="S51" s="25"/>
    </row>
    <row r="52" spans="1:19" ht="15.75" customHeight="1">
      <c r="A52" s="25"/>
      <c r="B52" s="10" t="s">
        <v>26</v>
      </c>
      <c r="C52" s="10"/>
      <c r="D52" s="116"/>
      <c r="E52" s="117"/>
      <c r="F52" s="117"/>
      <c r="G52" s="117"/>
      <c r="H52" s="35"/>
      <c r="I52" s="35"/>
      <c r="J52" s="35"/>
      <c r="K52" s="118"/>
      <c r="L52" s="118"/>
      <c r="M52" s="10"/>
      <c r="N52" s="10"/>
      <c r="O52" s="10"/>
      <c r="P52" s="160"/>
      <c r="Q52" s="10"/>
      <c r="R52" s="10"/>
      <c r="S52" s="25"/>
    </row>
    <row r="53" spans="1:19" ht="12.75">
      <c r="A53" s="25"/>
      <c r="B53" s="10"/>
      <c r="C53" s="10"/>
      <c r="D53" s="39"/>
      <c r="E53" s="10"/>
      <c r="F53" s="10"/>
      <c r="G53" s="10"/>
      <c r="H53" s="36"/>
      <c r="I53" s="36"/>
      <c r="J53" s="36"/>
      <c r="K53" s="36"/>
      <c r="L53" s="36"/>
      <c r="M53" s="10"/>
      <c r="N53" s="10"/>
      <c r="O53" s="10"/>
      <c r="P53" s="160"/>
      <c r="Q53" s="10"/>
      <c r="R53" s="10"/>
      <c r="S53" s="25"/>
    </row>
    <row r="54" spans="1:19" ht="0.75" customHeight="1">
      <c r="A54" s="25"/>
      <c r="B54" s="10"/>
      <c r="C54" s="10"/>
      <c r="D54" s="39"/>
      <c r="E54" s="10"/>
      <c r="F54" s="10"/>
      <c r="G54" s="10"/>
      <c r="H54" s="119"/>
      <c r="I54" s="36"/>
      <c r="J54" s="36"/>
      <c r="K54" s="36"/>
      <c r="L54" s="36"/>
      <c r="M54" s="10"/>
      <c r="N54" s="10"/>
      <c r="O54" s="10"/>
      <c r="P54" s="160"/>
      <c r="Q54" s="10"/>
      <c r="R54" s="10"/>
      <c r="S54" s="25"/>
    </row>
    <row r="55" spans="1:19" ht="14.25" customHeight="1" hidden="1">
      <c r="A55" s="25"/>
      <c r="B55" s="10"/>
      <c r="C55" s="10"/>
      <c r="D55" s="39"/>
      <c r="E55" s="10"/>
      <c r="F55" s="10"/>
      <c r="G55" s="10"/>
      <c r="H55" s="36"/>
      <c r="I55" s="36"/>
      <c r="J55" s="36"/>
      <c r="K55" s="36"/>
      <c r="L55" s="36"/>
      <c r="M55" s="10"/>
      <c r="N55" s="10"/>
      <c r="O55" s="10"/>
      <c r="P55" s="160"/>
      <c r="Q55" s="10"/>
      <c r="R55" s="10"/>
      <c r="S55" s="25"/>
    </row>
    <row r="56" spans="1:19" ht="13.5" customHeight="1" hidden="1">
      <c r="A56" s="25"/>
      <c r="B56" s="10"/>
      <c r="C56" s="10"/>
      <c r="D56" s="10"/>
      <c r="E56" s="10"/>
      <c r="F56" s="10"/>
      <c r="G56" s="10"/>
      <c r="H56" s="37"/>
      <c r="I56" s="37"/>
      <c r="J56" s="37"/>
      <c r="K56" s="37"/>
      <c r="L56" s="37"/>
      <c r="M56" s="10"/>
      <c r="N56" s="10"/>
      <c r="O56" s="10"/>
      <c r="P56" s="160"/>
      <c r="Q56" s="10"/>
      <c r="R56" s="10"/>
      <c r="S56" s="25"/>
    </row>
    <row r="57" spans="2:18" s="25" customFormat="1" ht="12.75" customHeight="1">
      <c r="B57" s="10" t="s">
        <v>14</v>
      </c>
      <c r="C57" s="39"/>
      <c r="D57" s="120"/>
      <c r="E57" s="121"/>
      <c r="F57" s="10"/>
      <c r="G57" s="10"/>
      <c r="H57" s="37"/>
      <c r="I57" s="37"/>
      <c r="J57" s="37"/>
      <c r="K57" s="37"/>
      <c r="L57" s="37"/>
      <c r="M57" s="10"/>
      <c r="N57" s="10"/>
      <c r="O57" s="10"/>
      <c r="P57" s="160"/>
      <c r="Q57" s="10"/>
      <c r="R57" s="10"/>
    </row>
    <row r="58" spans="1:18" s="25" customFormat="1" ht="9.75" customHeight="1">
      <c r="A58" s="122"/>
      <c r="B58" s="123" t="s">
        <v>20</v>
      </c>
      <c r="C58" s="10"/>
      <c r="D58" s="10"/>
      <c r="E58" s="124"/>
      <c r="F58" s="124"/>
      <c r="G58" s="125"/>
      <c r="H58" s="38"/>
      <c r="I58" s="38"/>
      <c r="J58" s="38"/>
      <c r="K58" s="38"/>
      <c r="L58" s="38"/>
      <c r="M58" s="10"/>
      <c r="N58" s="10"/>
      <c r="O58" s="10"/>
      <c r="P58" s="160"/>
      <c r="Q58" s="10"/>
      <c r="R58" s="10"/>
    </row>
    <row r="59" spans="2:18" s="25" customFormat="1" ht="12.75">
      <c r="B59" s="39"/>
      <c r="C59" s="10"/>
      <c r="D59" s="116"/>
      <c r="E59" s="38"/>
      <c r="F59" s="38"/>
      <c r="G59" s="38"/>
      <c r="H59" s="35"/>
      <c r="I59" s="35"/>
      <c r="J59" s="35"/>
      <c r="K59" s="35"/>
      <c r="L59" s="35"/>
      <c r="M59" s="10"/>
      <c r="N59" s="10"/>
      <c r="O59" s="10"/>
      <c r="P59" s="160"/>
      <c r="Q59" s="10"/>
      <c r="R59" s="10"/>
    </row>
    <row r="60" spans="2:18" s="25" customFormat="1" ht="12.75">
      <c r="B60" s="10"/>
      <c r="C60" s="10"/>
      <c r="D60" s="116"/>
      <c r="E60" s="38"/>
      <c r="F60" s="38"/>
      <c r="G60" s="38"/>
      <c r="H60" s="35"/>
      <c r="I60" s="35"/>
      <c r="J60" s="35"/>
      <c r="K60" s="35"/>
      <c r="L60" s="35"/>
      <c r="M60" s="10"/>
      <c r="N60" s="10"/>
      <c r="O60" s="10"/>
      <c r="P60" s="160"/>
      <c r="Q60" s="10"/>
      <c r="R60" s="10"/>
    </row>
    <row r="61" spans="2:18" s="25" customFormat="1" ht="12.75">
      <c r="B61" s="10"/>
      <c r="C61" s="10"/>
      <c r="D61" s="116"/>
      <c r="E61" s="38"/>
      <c r="F61" s="38"/>
      <c r="G61" s="38"/>
      <c r="H61" s="35"/>
      <c r="I61" s="35"/>
      <c r="J61" s="35"/>
      <c r="K61" s="35"/>
      <c r="L61" s="35"/>
      <c r="M61" s="10"/>
      <c r="N61" s="10"/>
      <c r="O61" s="10"/>
      <c r="P61" s="160"/>
      <c r="Q61" s="10"/>
      <c r="R61" s="10"/>
    </row>
    <row r="62" spans="2:18" s="25" customFormat="1" ht="12.75">
      <c r="B62" s="10"/>
      <c r="C62" s="10"/>
      <c r="D62" s="116"/>
      <c r="E62" s="38"/>
      <c r="F62" s="38"/>
      <c r="G62" s="38"/>
      <c r="H62" s="35"/>
      <c r="I62" s="35"/>
      <c r="J62" s="35"/>
      <c r="K62" s="35"/>
      <c r="L62" s="35"/>
      <c r="M62" s="10"/>
      <c r="N62" s="10"/>
      <c r="O62" s="10"/>
      <c r="P62" s="160"/>
      <c r="Q62" s="10"/>
      <c r="R62" s="10"/>
    </row>
    <row r="63" spans="2:18" s="25" customFormat="1" ht="12.75">
      <c r="B63" s="10"/>
      <c r="C63" s="10"/>
      <c r="D63" s="116"/>
      <c r="E63" s="38"/>
      <c r="F63" s="126"/>
      <c r="G63" s="126"/>
      <c r="H63" s="35"/>
      <c r="I63" s="35"/>
      <c r="J63" s="35"/>
      <c r="K63" s="35"/>
      <c r="L63" s="35"/>
      <c r="M63" s="10"/>
      <c r="N63" s="10"/>
      <c r="O63" s="10"/>
      <c r="P63" s="160"/>
      <c r="Q63" s="10"/>
      <c r="R63" s="10"/>
    </row>
    <row r="64" spans="1:18" s="25" customFormat="1" ht="18.75">
      <c r="A64" s="122"/>
      <c r="B64" s="122"/>
      <c r="C64" s="127"/>
      <c r="D64" s="127"/>
      <c r="E64" s="127"/>
      <c r="F64" s="127"/>
      <c r="G64" s="127"/>
      <c r="H64" s="39"/>
      <c r="I64" s="39"/>
      <c r="J64" s="39"/>
      <c r="K64" s="39"/>
      <c r="L64" s="39"/>
      <c r="M64" s="10"/>
      <c r="N64" s="10"/>
      <c r="O64" s="10"/>
      <c r="P64" s="160"/>
      <c r="Q64" s="10"/>
      <c r="R64" s="10"/>
    </row>
    <row r="65" spans="2:18" s="25" customFormat="1" ht="12.75">
      <c r="B65" s="10"/>
      <c r="C65" s="10"/>
      <c r="D65" s="116"/>
      <c r="E65" s="38"/>
      <c r="F65" s="38"/>
      <c r="G65" s="38"/>
      <c r="H65" s="35"/>
      <c r="I65" s="35"/>
      <c r="J65" s="35"/>
      <c r="K65" s="35"/>
      <c r="L65" s="35"/>
      <c r="M65" s="10"/>
      <c r="N65" s="10"/>
      <c r="O65" s="10"/>
      <c r="P65" s="160"/>
      <c r="Q65" s="10"/>
      <c r="R65" s="10"/>
    </row>
    <row r="66" spans="2:18" s="25" customFormat="1" ht="12.75">
      <c r="B66" s="10"/>
      <c r="C66" s="10"/>
      <c r="D66" s="116"/>
      <c r="E66" s="38"/>
      <c r="F66" s="38"/>
      <c r="G66" s="38"/>
      <c r="H66" s="35"/>
      <c r="I66" s="35"/>
      <c r="J66" s="35"/>
      <c r="K66" s="35"/>
      <c r="L66" s="35"/>
      <c r="M66" s="10"/>
      <c r="N66" s="10"/>
      <c r="O66" s="10"/>
      <c r="P66" s="160"/>
      <c r="Q66" s="10"/>
      <c r="R66" s="10"/>
    </row>
    <row r="67" spans="2:18" s="25" customFormat="1" ht="12.75">
      <c r="B67" s="10"/>
      <c r="C67" s="10"/>
      <c r="D67" s="116"/>
      <c r="E67" s="38"/>
      <c r="F67" s="38"/>
      <c r="G67" s="38"/>
      <c r="H67" s="35"/>
      <c r="I67" s="35"/>
      <c r="J67" s="35"/>
      <c r="K67" s="35"/>
      <c r="L67" s="35"/>
      <c r="M67" s="10"/>
      <c r="N67" s="10"/>
      <c r="O67" s="10"/>
      <c r="P67" s="160"/>
      <c r="Q67" s="10"/>
      <c r="R67" s="10"/>
    </row>
    <row r="68" spans="1:18" s="25" customFormat="1" ht="18.75">
      <c r="A68" s="128"/>
      <c r="B68" s="10"/>
      <c r="C68" s="10"/>
      <c r="D68" s="10"/>
      <c r="E68" s="125"/>
      <c r="F68" s="125"/>
      <c r="G68" s="125"/>
      <c r="H68" s="38"/>
      <c r="I68" s="38"/>
      <c r="J68" s="38"/>
      <c r="K68" s="38"/>
      <c r="L68" s="38"/>
      <c r="M68" s="10"/>
      <c r="N68" s="10"/>
      <c r="O68" s="10"/>
      <c r="P68" s="160"/>
      <c r="Q68" s="10"/>
      <c r="R68" s="10"/>
    </row>
    <row r="69" spans="2:18" s="25" customFormat="1" ht="12.75">
      <c r="B69" s="10"/>
      <c r="C69" s="10"/>
      <c r="D69" s="116"/>
      <c r="E69" s="117"/>
      <c r="F69" s="129"/>
      <c r="G69" s="129"/>
      <c r="H69" s="35"/>
      <c r="I69" s="35"/>
      <c r="J69" s="35"/>
      <c r="K69" s="35"/>
      <c r="L69" s="35"/>
      <c r="M69" s="10"/>
      <c r="N69" s="10"/>
      <c r="O69" s="10"/>
      <c r="P69" s="160"/>
      <c r="Q69" s="10"/>
      <c r="R69" s="10"/>
    </row>
    <row r="70" spans="2:18" s="25" customFormat="1" ht="12.75">
      <c r="B70" s="10"/>
      <c r="C70" s="10"/>
      <c r="D70" s="116"/>
      <c r="E70" s="117"/>
      <c r="F70" s="129"/>
      <c r="G70" s="129"/>
      <c r="H70" s="35"/>
      <c r="I70" s="35"/>
      <c r="J70" s="35"/>
      <c r="K70" s="35"/>
      <c r="L70" s="35"/>
      <c r="M70" s="10"/>
      <c r="N70" s="10"/>
      <c r="O70" s="10"/>
      <c r="P70" s="160"/>
      <c r="Q70" s="10"/>
      <c r="R70" s="10"/>
    </row>
    <row r="71" spans="2:18" s="25" customFormat="1" ht="12.75">
      <c r="B71" s="10"/>
      <c r="C71" s="10"/>
      <c r="D71" s="116"/>
      <c r="E71" s="117"/>
      <c r="F71" s="129"/>
      <c r="G71" s="129"/>
      <c r="H71" s="35"/>
      <c r="I71" s="35"/>
      <c r="J71" s="35"/>
      <c r="K71" s="35"/>
      <c r="L71" s="35"/>
      <c r="M71" s="10"/>
      <c r="N71" s="10"/>
      <c r="O71" s="10"/>
      <c r="P71" s="160"/>
      <c r="Q71" s="10"/>
      <c r="R71" s="10"/>
    </row>
    <row r="72" spans="1:18" s="25" customFormat="1" ht="18.75">
      <c r="A72" s="122"/>
      <c r="B72" s="122"/>
      <c r="C72" s="122"/>
      <c r="D72" s="122"/>
      <c r="E72" s="122"/>
      <c r="F72" s="122"/>
      <c r="G72" s="130"/>
      <c r="H72" s="131"/>
      <c r="I72" s="10"/>
      <c r="J72" s="10"/>
      <c r="K72" s="10"/>
      <c r="L72" s="10"/>
      <c r="M72" s="10"/>
      <c r="N72" s="10"/>
      <c r="O72" s="10"/>
      <c r="P72" s="160"/>
      <c r="Q72" s="10"/>
      <c r="R72" s="10"/>
    </row>
    <row r="73" spans="2:18" s="25" customFormat="1" ht="12.75"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60"/>
      <c r="Q73" s="10"/>
      <c r="R73" s="10"/>
    </row>
    <row r="74" spans="2:18" s="25" customFormat="1" ht="12.75">
      <c r="B74" s="10"/>
      <c r="C74" s="10"/>
      <c r="D74" s="116"/>
      <c r="E74" s="117"/>
      <c r="F74" s="117"/>
      <c r="G74" s="117"/>
      <c r="H74" s="35"/>
      <c r="I74" s="35"/>
      <c r="J74" s="35"/>
      <c r="K74" s="118"/>
      <c r="L74" s="118"/>
      <c r="M74" s="10"/>
      <c r="N74" s="10"/>
      <c r="O74" s="10"/>
      <c r="P74" s="160"/>
      <c r="Q74" s="10"/>
      <c r="R74" s="10"/>
    </row>
    <row r="75" spans="2:18" s="25" customFormat="1" ht="12.75">
      <c r="B75" s="10"/>
      <c r="C75" s="10"/>
      <c r="D75" s="39"/>
      <c r="E75" s="10"/>
      <c r="F75" s="10"/>
      <c r="G75" s="10"/>
      <c r="H75" s="36"/>
      <c r="I75" s="36"/>
      <c r="J75" s="36"/>
      <c r="K75" s="36"/>
      <c r="L75" s="36"/>
      <c r="M75" s="10"/>
      <c r="N75" s="10"/>
      <c r="O75" s="10"/>
      <c r="P75" s="182"/>
      <c r="Q75" s="10"/>
      <c r="R75" s="10"/>
    </row>
    <row r="76" s="25" customFormat="1" ht="12.75">
      <c r="P76" s="158"/>
    </row>
  </sheetData>
  <sheetProtection/>
  <mergeCells count="2">
    <mergeCell ref="C5:M5"/>
    <mergeCell ref="B10:R10"/>
  </mergeCells>
  <printOptions/>
  <pageMargins left="0.7" right="0.7" top="0.75" bottom="0.75" header="0.3" footer="0.3"/>
  <pageSetup fitToHeight="2" fitToWidth="1"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glavbuh</cp:lastModifiedBy>
  <cp:lastPrinted>2017-02-14T09:26:48Z</cp:lastPrinted>
  <dcterms:created xsi:type="dcterms:W3CDTF">2000-01-05T08:20:30Z</dcterms:created>
  <dcterms:modified xsi:type="dcterms:W3CDTF">2017-02-14T09:27:56Z</dcterms:modified>
  <cp:category/>
  <cp:version/>
  <cp:contentType/>
  <cp:contentStatus/>
</cp:coreProperties>
</file>