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0" activeTab="10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 на 2010г." sheetId="11" r:id="rId11"/>
    <sheet name="Лист1" sheetId="12" r:id="rId12"/>
    <sheet name="покварт.на 01.01" sheetId="13" r:id="rId13"/>
    <sheet name="район для расчетов (не печатать" sheetId="14" state="hidden" r:id="rId14"/>
    <sheet name="итого" sheetId="15" state="hidden" r:id="rId15"/>
  </sheets>
  <definedNames/>
  <calcPr fullCalcOnLoad="1"/>
</workbook>
</file>

<file path=xl/sharedStrings.xml><?xml version="1.0" encoding="utf-8"?>
<sst xmlns="http://schemas.openxmlformats.org/spreadsheetml/2006/main" count="11243" uniqueCount="403">
  <si>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</si>
  <si>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</si>
  <si>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</si>
  <si>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</si>
  <si>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</si>
  <si>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</si>
  <si>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</si>
  <si>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</si>
  <si>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</si>
  <si>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</si>
  <si>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</si>
  <si>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</si>
  <si>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</si>
  <si>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</si>
  <si>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</si>
  <si>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</si>
  <si>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</si>
  <si>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</si>
  <si>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</si>
  <si>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</si>
  <si>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</si>
  <si>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</si>
  <si>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</si>
  <si>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</si>
  <si>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</si>
  <si>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</si>
  <si>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</si>
  <si>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</si>
  <si>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</si>
  <si>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</si>
  <si>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</si>
  <si>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</si>
  <si>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</si>
  <si>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</si>
  <si>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</si>
  <si>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</si>
  <si>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</si>
  <si>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</si>
  <si>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</si>
  <si>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</si>
  <si>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</si>
  <si>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</si>
  <si>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</si>
  <si>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</si>
  <si>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</si>
  <si>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</si>
  <si>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</si>
  <si>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</si>
  <si>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</si>
  <si>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Земельный налог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</si>
  <si>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</si>
  <si>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</si>
  <si>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</si>
  <si>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</si>
  <si>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</si>
  <si>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</si>
  <si>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</si>
  <si>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</si>
  <si>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</si>
  <si>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</si>
  <si>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</si>
  <si>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</si>
  <si>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6.</t>
  </si>
  <si>
    <t>11</t>
  </si>
  <si>
    <t>6.1</t>
  </si>
  <si>
    <t>120</t>
  </si>
  <si>
    <t>014</t>
  </si>
  <si>
    <t>012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</si>
  <si>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</si>
  <si>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</si>
  <si>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</si>
  <si>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</si>
  <si>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</si>
  <si>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7.2</t>
  </si>
  <si>
    <t>Платежи за пользование лесным фондом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</si>
  <si>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</si>
  <si>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</si>
  <si>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04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</si>
  <si>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</si>
  <si>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</si>
  <si>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</si>
  <si>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ШТРАФЫ, САНКЦИИ, ВОЗМЕЩЕНИЕ УЩЕРБА</t>
  </si>
  <si>
    <t>16</t>
  </si>
  <si>
    <t>ПРОЧИЕ НЕНАЛОГОВЫЕ ДОХОДА ЗАЧИСЛЯЕМЫЕ В МЕСТНЫЙ БЮДЖЕТ</t>
  </si>
  <si>
    <t>17</t>
  </si>
  <si>
    <t>030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</si>
  <si>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</si>
  <si>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</si>
  <si>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</si>
  <si>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</si>
  <si>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</si>
  <si>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</si>
  <si>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070</t>
  </si>
  <si>
    <t>Субвенции из Регионального фонда компенсаций</t>
  </si>
  <si>
    <t>2.3</t>
  </si>
  <si>
    <t>2.4</t>
  </si>
  <si>
    <t>Программа "Реформирование и модернизация ЖКХ Республики Карелия на 2004-2010г.</t>
  </si>
  <si>
    <t>3.2</t>
  </si>
  <si>
    <t>III.</t>
  </si>
  <si>
    <t>3</t>
  </si>
  <si>
    <t>Рыночные продажи товаров и услуг</t>
  </si>
  <si>
    <t>130</t>
  </si>
  <si>
    <t>1.1</t>
  </si>
  <si>
    <t xml:space="preserve">Безвозмездные поступления по предпринимательской и иной приносящей доход деятельности </t>
  </si>
  <si>
    <t>ВСЕГО ДОХОДОВ</t>
  </si>
  <si>
    <t>5.2</t>
  </si>
  <si>
    <t>Налог с продаж</t>
  </si>
  <si>
    <t>5.3</t>
  </si>
  <si>
    <t>Прочие отмененные налоги, сборы</t>
  </si>
  <si>
    <t>2.5</t>
  </si>
  <si>
    <t>2.6</t>
  </si>
  <si>
    <t>9</t>
  </si>
  <si>
    <t>10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</si>
  <si>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</si>
  <si>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</si>
  <si>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</si>
  <si>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</si>
  <si>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</si>
  <si>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</si>
  <si>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Платежи за пользование природными ресурсами</t>
  </si>
  <si>
    <t xml:space="preserve"> на 2006 год</t>
  </si>
  <si>
    <t>Объем поступлений доходов  в бюджет Олонецкого городского поселения</t>
  </si>
  <si>
    <t>Объем поступлений доходов  в бюджет Туксинского сельского поселения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</si>
  <si>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</si>
  <si>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</si>
  <si>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</si>
  <si>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</si>
  <si>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Коткозерское сельскле поселения</t>
  </si>
  <si>
    <t>Объем поступлений доходов  в бюджет Олонецкого района</t>
  </si>
  <si>
    <t>Единый налог,взимаемый в связи с применением упращенной системы налогооблажения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</si>
  <si>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</si>
  <si>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>Субсидии из Регионального фонда софинансирования социальных расходов</t>
  </si>
  <si>
    <t>Программа "Адресная социальная помощь на 2006 год"</t>
  </si>
  <si>
    <t>Программа "Дети Карелии" на 2004-2006г.г.</t>
  </si>
  <si>
    <t>Программа "Здоровый образ жизни" на 2005-2007г.г.</t>
  </si>
  <si>
    <t>Программа "Развитие сферы культуры в РК на период до 2010 года"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</si>
  <si>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</si>
  <si>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</si>
  <si>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</si>
  <si>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</si>
  <si>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</si>
  <si>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</si>
  <si>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</si>
  <si>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</si>
  <si>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переданных полномочий по лицензированию розничной продажи алкогольной продукции 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</si>
  <si>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</si>
  <si>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Объем поступлений доходов  в бюджет Мегрегское сельское поселения</t>
  </si>
  <si>
    <t>Объем поступлений доходов  в бюджет Коверское сельское поселения</t>
  </si>
  <si>
    <t>ДОХОДЫ ОТ ИСПОЛЬЗОВАНИЯ ИМУЩЕСТВА, НАХОДЯЩЕГОСЯ В ГОСУДАРСТВЕННОЙ И МУНИЦИПАЛЬНОЙ</t>
  </si>
  <si>
    <t>Доходы от сдачи в аренду имущества, находящегося в государственной и муниципальной собственности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</si>
  <si>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</si>
  <si>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003</t>
  </si>
  <si>
    <t>Прочие поступления от использования имущества, находящегося в собственности поселений</t>
  </si>
  <si>
    <t>045</t>
  </si>
  <si>
    <t>Прочие доходы от использования имущества и прав,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</si>
  <si>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земли, зачисляемые в бюджеты поселений</t>
  </si>
  <si>
    <t>498</t>
  </si>
  <si>
    <t>6.2</t>
  </si>
  <si>
    <t>90</t>
  </si>
  <si>
    <t>050</t>
  </si>
  <si>
    <t>Дотация бюджетам поселений на выравнивание уровня бюджетной обеспеченности</t>
  </si>
  <si>
    <t xml:space="preserve">Дотация на выравнивание уровня бюджетной обеспеченности </t>
  </si>
  <si>
    <t>1.2</t>
  </si>
  <si>
    <t>Дотация  местным бюджетам на поддержку мер по обеспечению сбалансированности бюджетов</t>
  </si>
  <si>
    <t>1.3</t>
  </si>
  <si>
    <t>940</t>
  </si>
  <si>
    <t>920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</si>
  <si>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</si>
  <si>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</si>
  <si>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находящимися в ведении органов местного самоуправления поселений</t>
  </si>
  <si>
    <t>налог на игорный бизнес</t>
  </si>
  <si>
    <t>Итого объем поступлений доходов  в бюджет  поселения (свод)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</si>
  <si>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</si>
  <si>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</si>
  <si>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</si>
  <si>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</si>
  <si>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за год</t>
  </si>
  <si>
    <t>1 квартал</t>
  </si>
  <si>
    <t>2 квартал</t>
  </si>
  <si>
    <t>3 квартал</t>
  </si>
  <si>
    <t>4 квартал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</si>
  <si>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</si>
  <si>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</si>
  <si>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</si>
  <si>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</si>
  <si>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</si>
  <si>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</si>
  <si>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</si>
  <si>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</si>
  <si>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</si>
  <si>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</si>
  <si>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</si>
  <si>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</si>
  <si>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</si>
  <si>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из Регионального Фонда муниципального развития</t>
  </si>
  <si>
    <t>024</t>
  </si>
  <si>
    <t>092</t>
  </si>
  <si>
    <t>903</t>
  </si>
  <si>
    <t>057</t>
  </si>
  <si>
    <t>930</t>
  </si>
  <si>
    <t>055</t>
  </si>
  <si>
    <t>132</t>
  </si>
  <si>
    <t>2.7</t>
  </si>
  <si>
    <t>2.8</t>
  </si>
  <si>
    <t>2.9</t>
  </si>
  <si>
    <t>3.1</t>
  </si>
  <si>
    <t>3.1.1</t>
  </si>
  <si>
    <t>3.1.2</t>
  </si>
  <si>
    <t>3.1.3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</si>
  <si>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</si>
  <si>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</si>
  <si>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</si>
  <si>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</si>
  <si>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</si>
  <si>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>Проект "олония-гусинная столица"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</si>
  <si>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</si>
  <si>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Единый сельхозяйственный налог, уплачиваемый организациями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</si>
  <si>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</si>
  <si>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</si>
  <si>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240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</si>
  <si>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</si>
  <si>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</si>
  <si>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</si>
  <si>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</si>
  <si>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</si>
  <si>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</si>
  <si>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082</t>
  </si>
  <si>
    <t>Субвенции на вознограждение за классное руководство в муниципальных общееоразовательных школах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</si>
  <si>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</si>
  <si>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</si>
  <si>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</si>
  <si>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 xml:space="preserve">Свод объем поступлений доходов муниципального образования  на 2006год 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</si>
  <si>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</si>
  <si>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</si>
  <si>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</si>
  <si>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от 08.11.2006г. №142</t>
  </si>
  <si>
    <t>Программа "Адресная социальная помощь на 2007 год"</t>
  </si>
  <si>
    <t>3.3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</si>
  <si>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</si>
  <si>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Программа "Развитие образования в Республике Карелия" на 2005-2007 годы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</si>
  <si>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</si>
  <si>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</si>
  <si>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</si>
  <si>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</si>
  <si>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</si>
  <si>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</si>
  <si>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Субвенции на осуществление полном. По регулированию цен на отдельные виды продукции, товаров и услуг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</si>
  <si>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</si>
  <si>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</si>
  <si>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3.5</t>
  </si>
  <si>
    <t>3.6</t>
  </si>
  <si>
    <t>3.7</t>
  </si>
  <si>
    <t xml:space="preserve">Субвенции </t>
  </si>
  <si>
    <t xml:space="preserve">Субсидии </t>
  </si>
  <si>
    <t>Субвенции  на ежемесячное денежное вознаграждение за классное руководство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</si>
  <si>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</si>
  <si>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>Единый  сельхозналог</t>
  </si>
  <si>
    <t xml:space="preserve"> на 2007 год</t>
  </si>
  <si>
    <t>Единый сельхозналог</t>
  </si>
  <si>
    <t xml:space="preserve">Субвенции на осуществление первичного воиского учета </t>
  </si>
  <si>
    <t>ПРОЧИЕ НЕНАЛОГОВЫЕ ДОХОДЫ ЗАЧИСЛЯЕМЫЕ В МЕСТНЫЙ БЮДЖЕТ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</si>
  <si>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</si>
  <si>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</si>
  <si>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>3.8</t>
  </si>
  <si>
    <t>001</t>
  </si>
  <si>
    <t>999</t>
  </si>
  <si>
    <t>025</t>
  </si>
  <si>
    <t>004</t>
  </si>
  <si>
    <t>036</t>
  </si>
  <si>
    <t>Приложение № 3</t>
  </si>
  <si>
    <t>914</t>
  </si>
  <si>
    <t>субсидии на предоставление субсидий мол.семьям на приобретение жилья в рамках респ.цел.программы "Жилище" на 2004-2010 годы</t>
  </si>
  <si>
    <t>140</t>
  </si>
  <si>
    <t>033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</si>
  <si>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</si>
  <si>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</si>
  <si>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</si>
  <si>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</si>
  <si>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Денежные взыскания (штрафы) за административные правонарушения в области дорожного движения</t>
  </si>
  <si>
    <t>30</t>
  </si>
  <si>
    <t>субвенция на финансирование расходов связанных с  предоставлением компесации части родительской платы за содержание ребенка в мун. образ.учрежд. реализующим основную общеобразовательную программу дошкольного образования</t>
  </si>
  <si>
    <t xml:space="preserve">Субсидии на социальную поддержку специалистов муиципальных учреждений, работающих и проживающих за пределами городов </t>
  </si>
  <si>
    <t>Субсидии из фонда софинансирования социальных расходов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</si>
  <si>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</si>
  <si>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008</t>
  </si>
  <si>
    <t>4.1.</t>
  </si>
  <si>
    <t>4.2.</t>
  </si>
  <si>
    <t>5.1.</t>
  </si>
  <si>
    <t>8.1.</t>
  </si>
  <si>
    <t>8.2.</t>
  </si>
  <si>
    <t>8.3.</t>
  </si>
  <si>
    <t>8.4.</t>
  </si>
  <si>
    <t>8.5.</t>
  </si>
  <si>
    <t>8.6.</t>
  </si>
  <si>
    <t>2.7.</t>
  </si>
  <si>
    <t>2.8.</t>
  </si>
  <si>
    <t>2.9.</t>
  </si>
  <si>
    <t>2.10.</t>
  </si>
  <si>
    <t>2.11.</t>
  </si>
  <si>
    <t>2.12.</t>
  </si>
  <si>
    <t>2.13.</t>
  </si>
  <si>
    <t>2.14</t>
  </si>
  <si>
    <t>2.15.</t>
  </si>
  <si>
    <t>2.16.</t>
  </si>
  <si>
    <t>2.17</t>
  </si>
  <si>
    <t>2.18.</t>
  </si>
  <si>
    <t>3.1.</t>
  </si>
  <si>
    <t>3.4.</t>
  </si>
  <si>
    <t>3.9</t>
  </si>
  <si>
    <t>3.10</t>
  </si>
  <si>
    <t>3.11</t>
  </si>
  <si>
    <t>3.12</t>
  </si>
  <si>
    <t>3.13</t>
  </si>
  <si>
    <t>3.14</t>
  </si>
  <si>
    <t>3.2.</t>
  </si>
  <si>
    <t xml:space="preserve">  тыс.руб.</t>
  </si>
  <si>
    <t>Государственная пошлина завыдачу разрешения на установку рекламной конструкции</t>
  </si>
  <si>
    <t>150</t>
  </si>
  <si>
    <t>Доходы в виде прибыли, приходящиеся на доли в уставных (складочных) капиталах хозяйственных товариществ и обществ, или дивидендов по акциям, принадлежащим мунициальным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</si>
  <si>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</si>
  <si>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</si>
  <si>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муниципальных районов на выравнивание бюджетной обеспеченности</t>
  </si>
  <si>
    <t>026</t>
  </si>
  <si>
    <t>007</t>
  </si>
  <si>
    <t>029</t>
  </si>
  <si>
    <t>субвенции на обеспечение полномочий по организации заготовки, переработки, хранения и обеспечения безопасности  донорской крови и ее компонентов, обеспечения муниципальных организаций здравоохранения донорской кровью и ее компонентами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</si>
  <si>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</si>
  <si>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от реализации иного имущества, находящихся  в собственности муниципальных районов, в части реализации основных средств по указанному имуществу)</t>
  </si>
  <si>
    <t>Прочие поступления от денежных взысканий (штрафы) и иных  сумм в возмещение ущерба, зачисляемые в бюджеты муниципальных районов</t>
  </si>
  <si>
    <t>Прогнозные поступления доходов  в бюджет Олонецкого национального муниципального района</t>
  </si>
  <si>
    <t>Прочие поступления от использования имущества, находящегося в собственности муниципальных районов</t>
  </si>
  <si>
    <t>средства по переданным полномочиям по финансовому органу</t>
  </si>
  <si>
    <t>средства по переданным полномочиям по билиотечному обслуживанию</t>
  </si>
  <si>
    <t>Государственная пошлина по делам, рассматриваемым в судах общей юрисдикции,  мировыми судьями (за исключением Верховного Суда Российской Федерации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</si>
  <si>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</si>
  <si>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</si>
  <si>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 xml:space="preserve">Денежные взыскания (штрафы) за административные в области государственного регулирования производства и оборота этилового спирта, алкогольной, спиртосодержащей </t>
  </si>
  <si>
    <t>Денежные взыскания (штрафы) за нарушение законодательства об охране и использовании животного мира</t>
  </si>
  <si>
    <t>25</t>
  </si>
  <si>
    <t xml:space="preserve"> на 2009 год</t>
  </si>
  <si>
    <t xml:space="preserve">ожидаемое </t>
  </si>
  <si>
    <t>исполнение</t>
  </si>
  <si>
    <t>2008г.</t>
  </si>
  <si>
    <t xml:space="preserve">факт </t>
  </si>
  <si>
    <t>2007г.</t>
  </si>
  <si>
    <t>субвенции бюджетам муниципальных районов на выполнение гос.полномочий по организации и осуществлению деятельности по опеке и попечительству</t>
  </si>
  <si>
    <t>Сумма</t>
  </si>
  <si>
    <t>430</t>
  </si>
  <si>
    <t>015</t>
  </si>
  <si>
    <t xml:space="preserve">средства на осуществление части полномочий по решению вопросов местного значения из бюджетов поселений бюджету муниципального  района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</si>
  <si>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</si>
  <si>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по регулированию цен (тарифов) на отдельные виды продукции, товаров и услуг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</si>
  <si>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</si>
  <si>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Прочие безвозмездные поступления в бюджеты муниципальных районов </t>
  </si>
  <si>
    <t>1квартал</t>
  </si>
  <si>
    <t>2квартал</t>
  </si>
  <si>
    <t xml:space="preserve">К решению  Совета Олонецкого национального муниципального района от                2009г. №                                      " О бюджете Олонецкого национального муниципального района на 2009 год. " </t>
  </si>
  <si>
    <t xml:space="preserve"> на 2010 год</t>
  </si>
  <si>
    <t>Субвенции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(за исключением образования, получаемого в федеральных образовательных учреждениях и образовательных учреждениях Республики Карелия)</t>
  </si>
  <si>
    <t xml:space="preserve"> Субвенции по обеспечению и проведению государственной (итоговой)  аттестации обучающихся, освоивших образовательные программы основного общего образования, обеспечению и проведению государ-ственной (итоговой) аттестации обучающихся, освоивших образовательные программы среднего (полного) общего образования в части обеспечения и прове-дения государственного выпускного экзамена в пунктах проведения экзамена</t>
  </si>
  <si>
    <t>Субсидии</t>
  </si>
  <si>
    <t>Субсидии на улучшение питания обучающихся 1-5 классов общеобразовательных учреждений</t>
  </si>
  <si>
    <t>Субсидии на проведение мероприятий ведомственной целевой программы оказания гражданам государственной социальной помощи "Адресная социальная помощь"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</si>
  <si>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медицискими сестрами врачей общей практики (семейных врачей)</t>
  </si>
  <si>
    <t>074</t>
  </si>
  <si>
    <t>Субсидии на осуществление первоочередных мероприятий по выполнению поступивших в период избирательной кампании по выборам Президента РФ 2008 года наказов избирателей</t>
  </si>
  <si>
    <t>Субвенции на ежемесячное денежное вознаграждение за классное руководство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</si>
  <si>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</si>
  <si>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</si>
  <si>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сумма с изменением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</si>
  <si>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 (дебиторская задолженность прошлых лет)</t>
  </si>
  <si>
    <t>прочие безвозмезные поступления в бюджет (спонсорская помошь)</t>
  </si>
  <si>
    <t>прибыль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</si>
  <si>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</si>
  <si>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</si>
  <si>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</si>
  <si>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Субсидии на оздоровление детей </t>
  </si>
  <si>
    <t>Субсидии на развитие сферы культуры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</si>
  <si>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</si>
  <si>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на реформирование муниципальных финансов</t>
  </si>
  <si>
    <t>084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</si>
  <si>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</si>
  <si>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1000</t>
  </si>
  <si>
    <t>Субвенции по составлению списков присяжных заседателей</t>
  </si>
  <si>
    <t xml:space="preserve">Субвенции по подготовке и проведению Всероссийской переписи населения </t>
  </si>
  <si>
    <t>002</t>
  </si>
  <si>
    <t>Субсидии на развитие инфраструктуры (стадион)</t>
  </si>
  <si>
    <t>077</t>
  </si>
  <si>
    <t>Субсидии на закупку автотранспорта</t>
  </si>
  <si>
    <t>Субсидии на кап.ремонт жилья с фонда рефо.ЖКХ</t>
  </si>
  <si>
    <t>088</t>
  </si>
  <si>
    <t>0001</t>
  </si>
  <si>
    <t>089</t>
  </si>
  <si>
    <t>Субсидии на кап.ремонт жилья с РК</t>
  </si>
  <si>
    <t>102</t>
  </si>
  <si>
    <t>085</t>
  </si>
  <si>
    <t>Субсидии на обеспечение мероприятий по переселению граждан из аварийного жилищного фонда за счет средств бюджетов</t>
  </si>
  <si>
    <t>Субсидии на обеспечение мероприятий по переселению граждан из аварийного жилищного фонда за счет средств, поступивщих от гос.корпорации Фонд содействия реформированию жилищно-коммунального хозяйства</t>
  </si>
  <si>
    <t>0002</t>
  </si>
  <si>
    <t>Субсидии на приобретение жилья специалистам проживающим и работающим в сельской местности</t>
  </si>
  <si>
    <t>Прочие доходы оказания платных услуг и компенсации затрат государства</t>
  </si>
  <si>
    <t xml:space="preserve"> на 2011 год</t>
  </si>
  <si>
    <t xml:space="preserve">К решению  Совета Олонецкого национального муниципального района от 13.12.2010г. № 101   "  О бюджете Олонецкого национального муниципального района на 2011 год. 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</si>
</sst>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</numFmts>
  <fonts count="1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2"/>
    </font>
    <font>
      <b/>
      <sz val="10"/>
      <color indexed="1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" fontId="5" fillId="0" borderId="8" xfId="0" applyNumberFormat="1" applyFont="1" applyBorder="1" applyAlignment="1">
      <alignment horizontal="right"/>
    </xf>
    <xf numFmtId="16" fontId="5" fillId="0" borderId="9" xfId="0" applyNumberFormat="1" applyFont="1" applyBorder="1" applyAlignment="1">
      <alignment horizontal="right"/>
    </xf>
    <xf numFmtId="1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right"/>
    </xf>
    <xf numFmtId="16" fontId="5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6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49" fontId="5" fillId="0" borderId="5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4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6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wrapText="1"/>
    </xf>
    <xf numFmtId="49" fontId="0" fillId="3" borderId="1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10" xfId="0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42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67" fontId="4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7" fillId="0" borderId="4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horizontal="center"/>
    </xf>
    <xf numFmtId="0" fontId="5" fillId="0" borderId="59" xfId="0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53">
      <pane xSplit="8700" topLeftCell="A2" activePane="topLeft" state="split"/>
      <selection pane="topLeft" activeCell="B92" sqref="B92"/>
      <selection pane="topRight" activeCell="AA29" sqref="AA29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3" width="7.25390625" style="0" hidden="1" customWidth="1"/>
    <col min="4" max="4" width="6.25390625" style="0" hidden="1" customWidth="1"/>
    <col min="5" max="5" width="7.625" style="0" hidden="1" customWidth="1"/>
    <col min="6" max="6" width="7.25390625" style="0" hidden="1" customWidth="1"/>
    <col min="7" max="7" width="7.375" style="0" hidden="1" customWidth="1"/>
    <col min="8" max="8" width="7.875" style="0" hidden="1" customWidth="1"/>
    <col min="9" max="9" width="8.00390625" style="0" hidden="1" customWidth="1"/>
    <col min="10" max="10" width="7.375" style="0" hidden="1" customWidth="1"/>
    <col min="11" max="11" width="13.125" style="0" customWidth="1"/>
    <col min="12" max="13" width="9.125" style="0" hidden="1" customWidth="1"/>
    <col min="14" max="14" width="9.125" style="334" hidden="1" customWidth="1"/>
    <col min="15" max="16" width="9.125" style="0" hidden="1" customWidth="1"/>
    <col min="17" max="17" width="8.875" style="0" hidden="1" customWidth="1"/>
    <col min="18" max="18" width="9.125" style="334" hidden="1" customWidth="1"/>
    <col min="19" max="21" width="9.125" style="0" hidden="1" customWidth="1"/>
    <col min="22" max="22" width="9.125" style="334" hidden="1" customWidth="1"/>
    <col min="23" max="23" width="9.00390625" style="0" hidden="1" customWidth="1"/>
    <col min="24" max="25" width="9.125" style="0" hidden="1" customWidth="1"/>
    <col min="26" max="26" width="9.125" style="334" hidden="1" customWidth="1"/>
    <col min="27" max="29" width="9.125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121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257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9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N16" s="335"/>
      <c r="O16" s="176"/>
      <c r="P16" s="176"/>
      <c r="Q16" s="176"/>
      <c r="R16" s="352"/>
      <c r="S16" s="176"/>
      <c r="T16" s="176"/>
      <c r="U16" s="176"/>
      <c r="V16" s="352"/>
      <c r="W16" s="176"/>
      <c r="X16" s="176"/>
      <c r="Y16" s="176"/>
      <c r="Z16" s="355"/>
      <c r="AA16" s="176"/>
      <c r="AB16" s="176"/>
      <c r="AC16" s="176"/>
    </row>
    <row r="17" spans="1:29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N17" s="336"/>
      <c r="O17" s="179"/>
      <c r="P17" s="179"/>
      <c r="Q17" s="179"/>
      <c r="R17" s="353"/>
      <c r="S17" s="179"/>
      <c r="T17" s="179"/>
      <c r="U17" s="179"/>
      <c r="V17" s="353"/>
      <c r="W17" s="179"/>
      <c r="X17" s="179"/>
      <c r="Y17" s="179"/>
      <c r="Z17" s="356"/>
      <c r="AA17" s="179"/>
      <c r="AB17" s="179"/>
      <c r="AC17" s="179"/>
    </row>
    <row r="18" spans="1:29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N18" s="336" t="s">
        <v>181</v>
      </c>
      <c r="O18" s="179"/>
      <c r="P18" s="179"/>
      <c r="Q18" s="179"/>
      <c r="R18" s="353"/>
      <c r="S18" s="179"/>
      <c r="T18" s="179"/>
      <c r="U18" s="179"/>
      <c r="V18" s="353"/>
      <c r="W18" s="179"/>
      <c r="X18" s="179"/>
      <c r="Y18" s="179"/>
      <c r="Z18" s="356"/>
      <c r="AA18" s="179"/>
      <c r="AB18" s="179"/>
      <c r="AC18" s="179"/>
    </row>
    <row r="19" spans="1:29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N19" s="336"/>
      <c r="O19" s="179"/>
      <c r="P19" s="179"/>
      <c r="Q19" s="179"/>
      <c r="R19" s="353"/>
      <c r="S19" s="179"/>
      <c r="T19" s="179"/>
      <c r="U19" s="179"/>
      <c r="V19" s="353"/>
      <c r="W19" s="179"/>
      <c r="X19" s="179"/>
      <c r="Y19" s="179"/>
      <c r="Z19" s="356"/>
      <c r="AA19" s="179"/>
      <c r="AB19" s="179"/>
      <c r="AC19" s="179"/>
    </row>
    <row r="20" spans="1:29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N20" s="337"/>
      <c r="O20" s="182"/>
      <c r="P20" s="182"/>
      <c r="Q20" s="182"/>
      <c r="R20" s="354"/>
      <c r="S20" s="182"/>
      <c r="T20" s="182"/>
      <c r="U20" s="182"/>
      <c r="V20" s="354"/>
      <c r="W20" s="182"/>
      <c r="X20" s="182"/>
      <c r="Y20" s="182"/>
      <c r="Z20" s="357"/>
      <c r="AA20" s="182"/>
      <c r="AB20" s="182"/>
      <c r="AC20" s="182"/>
    </row>
    <row r="21" spans="1:29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N21" s="338">
        <v>5</v>
      </c>
      <c r="O21" s="184"/>
      <c r="P21" s="184"/>
      <c r="Q21" s="184"/>
      <c r="R21" s="338">
        <v>6</v>
      </c>
      <c r="S21" s="184"/>
      <c r="T21" s="184"/>
      <c r="U21" s="184"/>
      <c r="V21" s="338">
        <v>7</v>
      </c>
      <c r="W21" s="184"/>
      <c r="X21" s="184"/>
      <c r="Y21" s="184"/>
      <c r="Z21" s="338">
        <v>8</v>
      </c>
      <c r="AA21" s="184"/>
      <c r="AB21" s="184"/>
      <c r="AC21" s="184"/>
    </row>
    <row r="22" spans="1:29" ht="48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 t="s">
        <v>176</v>
      </c>
      <c r="N22" s="338" t="s">
        <v>177</v>
      </c>
      <c r="O22" s="184" t="s">
        <v>182</v>
      </c>
      <c r="P22" s="184" t="s">
        <v>183</v>
      </c>
      <c r="Q22" s="184" t="s">
        <v>184</v>
      </c>
      <c r="R22" s="338" t="s">
        <v>178</v>
      </c>
      <c r="S22" s="184" t="s">
        <v>185</v>
      </c>
      <c r="T22" s="184" t="s">
        <v>186</v>
      </c>
      <c r="U22" s="184" t="s">
        <v>187</v>
      </c>
      <c r="V22" s="338" t="s">
        <v>179</v>
      </c>
      <c r="W22" s="184" t="s">
        <v>188</v>
      </c>
      <c r="X22" s="184" t="s">
        <v>189</v>
      </c>
      <c r="Y22" s="184" t="s">
        <v>190</v>
      </c>
      <c r="Z22" s="338" t="s">
        <v>180</v>
      </c>
      <c r="AA22" s="184" t="s">
        <v>191</v>
      </c>
      <c r="AB22" s="184" t="s">
        <v>192</v>
      </c>
      <c r="AC22" s="184" t="s">
        <v>193</v>
      </c>
    </row>
    <row r="23" spans="1:29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10493.400000000001</v>
      </c>
      <c r="L23" s="102">
        <f aca="true" t="shared" si="0" ref="L23:AC23">L24+L31+L34+L38+L41+L47+L55+L64+L65+L61</f>
        <v>0</v>
      </c>
      <c r="M23" s="102">
        <f t="shared" si="0"/>
        <v>0</v>
      </c>
      <c r="N23" s="339">
        <f t="shared" si="0"/>
        <v>17.5</v>
      </c>
      <c r="O23" s="102">
        <f t="shared" si="0"/>
        <v>0</v>
      </c>
      <c r="P23" s="102">
        <f t="shared" si="0"/>
        <v>0</v>
      </c>
      <c r="Q23" s="102">
        <f t="shared" si="0"/>
        <v>0</v>
      </c>
      <c r="R23" s="339">
        <f t="shared" si="0"/>
        <v>0</v>
      </c>
      <c r="S23" s="102">
        <f t="shared" si="0"/>
        <v>0</v>
      </c>
      <c r="T23" s="102">
        <f t="shared" si="0"/>
        <v>0</v>
      </c>
      <c r="U23" s="102">
        <f t="shared" si="0"/>
        <v>0</v>
      </c>
      <c r="V23" s="339">
        <f t="shared" si="0"/>
        <v>0</v>
      </c>
      <c r="W23" s="102">
        <f t="shared" si="0"/>
        <v>0</v>
      </c>
      <c r="X23" s="102">
        <f t="shared" si="0"/>
        <v>0</v>
      </c>
      <c r="Y23" s="102">
        <f t="shared" si="0"/>
        <v>0</v>
      </c>
      <c r="Z23" s="339">
        <f t="shared" si="0"/>
        <v>0</v>
      </c>
      <c r="AA23" s="102">
        <f t="shared" si="0"/>
        <v>0</v>
      </c>
      <c r="AB23" s="102">
        <f t="shared" si="0"/>
        <v>0</v>
      </c>
      <c r="AC23" s="102">
        <f t="shared" si="0"/>
        <v>0</v>
      </c>
    </row>
    <row r="24" spans="1:29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8852.2</v>
      </c>
      <c r="L24" s="45">
        <f aca="true" t="shared" si="1" ref="L24:AC24">L25</f>
        <v>0</v>
      </c>
      <c r="M24" s="45">
        <f t="shared" si="1"/>
        <v>0</v>
      </c>
      <c r="N24" s="340">
        <f t="shared" si="1"/>
        <v>17.5</v>
      </c>
      <c r="O24" s="45">
        <f t="shared" si="1"/>
        <v>0</v>
      </c>
      <c r="P24" s="45">
        <f t="shared" si="1"/>
        <v>0</v>
      </c>
      <c r="Q24" s="45">
        <f t="shared" si="1"/>
        <v>0</v>
      </c>
      <c r="R24" s="340">
        <f t="shared" si="1"/>
        <v>0</v>
      </c>
      <c r="S24" s="45">
        <f t="shared" si="1"/>
        <v>0</v>
      </c>
      <c r="T24" s="45">
        <f t="shared" si="1"/>
        <v>0</v>
      </c>
      <c r="U24" s="45">
        <f t="shared" si="1"/>
        <v>0</v>
      </c>
      <c r="V24" s="340">
        <f t="shared" si="1"/>
        <v>0</v>
      </c>
      <c r="W24" s="45">
        <f t="shared" si="1"/>
        <v>0</v>
      </c>
      <c r="X24" s="45">
        <f t="shared" si="1"/>
        <v>0</v>
      </c>
      <c r="Y24" s="45">
        <f t="shared" si="1"/>
        <v>0</v>
      </c>
      <c r="Z24" s="340">
        <f t="shared" si="1"/>
        <v>0</v>
      </c>
      <c r="AA24" s="45">
        <f t="shared" si="1"/>
        <v>0</v>
      </c>
      <c r="AB24" s="45">
        <f t="shared" si="1"/>
        <v>0</v>
      </c>
      <c r="AC24" s="45">
        <f t="shared" si="1"/>
        <v>0</v>
      </c>
    </row>
    <row r="25" spans="1:29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K26+K27+K30+K29</f>
        <v>8852.2</v>
      </c>
      <c r="L25" s="45">
        <f aca="true" t="shared" si="2" ref="L25:AC25">L26+L27+L30+L29</f>
        <v>0</v>
      </c>
      <c r="M25" s="45">
        <f t="shared" si="2"/>
        <v>0</v>
      </c>
      <c r="N25" s="340">
        <f t="shared" si="2"/>
        <v>17.5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340">
        <f t="shared" si="2"/>
        <v>0</v>
      </c>
      <c r="S25" s="45">
        <f t="shared" si="2"/>
        <v>0</v>
      </c>
      <c r="T25" s="45">
        <f t="shared" si="2"/>
        <v>0</v>
      </c>
      <c r="U25" s="45">
        <f t="shared" si="2"/>
        <v>0</v>
      </c>
      <c r="V25" s="340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340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</row>
    <row r="26" spans="1:29" ht="24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>
        <v>0</v>
      </c>
      <c r="N26" s="338"/>
      <c r="O26" s="184"/>
      <c r="P26" s="184"/>
      <c r="Q26" s="184"/>
      <c r="R26" s="338"/>
      <c r="S26" s="184"/>
      <c r="T26" s="184"/>
      <c r="U26" s="184"/>
      <c r="V26" s="338"/>
      <c r="W26" s="184"/>
      <c r="X26" s="184"/>
      <c r="Y26" s="184"/>
      <c r="Z26" s="338"/>
      <c r="AA26" s="184"/>
      <c r="AB26" s="184"/>
      <c r="AC26" s="184"/>
    </row>
    <row r="27" spans="1:29" ht="36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8782.2</v>
      </c>
      <c r="N27" s="338"/>
      <c r="O27" s="184"/>
      <c r="P27" s="184"/>
      <c r="Q27" s="184"/>
      <c r="R27" s="338"/>
      <c r="S27" s="184"/>
      <c r="T27" s="184"/>
      <c r="U27" s="184"/>
      <c r="V27" s="338"/>
      <c r="W27" s="184"/>
      <c r="X27" s="184"/>
      <c r="Y27" s="184"/>
      <c r="Z27" s="338"/>
      <c r="AA27" s="184"/>
      <c r="AB27" s="184"/>
      <c r="AC27" s="184"/>
    </row>
    <row r="28" spans="1:29" ht="78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8782.2</v>
      </c>
      <c r="N28" s="338"/>
      <c r="O28" s="184"/>
      <c r="P28" s="184"/>
      <c r="Q28" s="184"/>
      <c r="R28" s="338"/>
      <c r="S28" s="184"/>
      <c r="T28" s="184"/>
      <c r="U28" s="184"/>
      <c r="V28" s="338"/>
      <c r="W28" s="184"/>
      <c r="X28" s="184"/>
      <c r="Y28" s="184"/>
      <c r="Z28" s="338"/>
      <c r="AA28" s="184"/>
      <c r="AB28" s="184"/>
      <c r="AC28" s="184"/>
    </row>
    <row r="29" spans="1:29" ht="71.2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70</v>
      </c>
      <c r="N29" s="338">
        <f>K29/4</f>
        <v>17.5</v>
      </c>
      <c r="O29" s="184"/>
      <c r="P29" s="184"/>
      <c r="Q29" s="184"/>
      <c r="R29" s="338"/>
      <c r="S29" s="184"/>
      <c r="T29" s="184"/>
      <c r="U29" s="184"/>
      <c r="V29" s="338"/>
      <c r="W29" s="184"/>
      <c r="X29" s="184"/>
      <c r="Y29" s="184"/>
      <c r="Z29" s="338"/>
      <c r="AA29" s="184"/>
      <c r="AB29" s="184"/>
      <c r="AC29" s="184"/>
    </row>
    <row r="30" spans="1:29" ht="60.75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>
        <v>0</v>
      </c>
      <c r="N30" s="338"/>
      <c r="O30" s="184"/>
      <c r="P30" s="184"/>
      <c r="Q30" s="184"/>
      <c r="R30" s="338"/>
      <c r="S30" s="184"/>
      <c r="T30" s="184"/>
      <c r="U30" s="184"/>
      <c r="V30" s="338"/>
      <c r="W30" s="184"/>
      <c r="X30" s="184"/>
      <c r="Y30" s="184"/>
      <c r="Z30" s="338"/>
      <c r="AA30" s="184"/>
      <c r="AB30" s="184"/>
      <c r="AC30" s="184"/>
    </row>
    <row r="31" spans="1:29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0.7</v>
      </c>
      <c r="L31" s="43">
        <f aca="true" t="shared" si="3" ref="L31:AC31">L32+L33</f>
        <v>0</v>
      </c>
      <c r="M31" s="43">
        <f t="shared" si="3"/>
        <v>0</v>
      </c>
      <c r="N31" s="341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341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341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3"/>
        <v>0</v>
      </c>
      <c r="Z31" s="341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</row>
    <row r="32" spans="1:29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N32" s="338"/>
      <c r="O32" s="184"/>
      <c r="P32" s="184"/>
      <c r="Q32" s="184"/>
      <c r="R32" s="338"/>
      <c r="S32" s="184"/>
      <c r="T32" s="184"/>
      <c r="U32" s="184"/>
      <c r="V32" s="338"/>
      <c r="W32" s="184"/>
      <c r="X32" s="184"/>
      <c r="Y32" s="184"/>
      <c r="Z32" s="338"/>
      <c r="AA32" s="184"/>
      <c r="AB32" s="184"/>
      <c r="AC32" s="184"/>
    </row>
    <row r="33" spans="1:29" ht="13.5" thickBot="1">
      <c r="A33" s="20" t="s">
        <v>41</v>
      </c>
      <c r="B33" s="78" t="s">
        <v>258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0.7</v>
      </c>
      <c r="N33" s="338"/>
      <c r="O33" s="184"/>
      <c r="P33" s="184"/>
      <c r="Q33" s="184"/>
      <c r="R33" s="338"/>
      <c r="S33" s="184"/>
      <c r="T33" s="184"/>
      <c r="U33" s="184"/>
      <c r="V33" s="338"/>
      <c r="W33" s="184"/>
      <c r="X33" s="184"/>
      <c r="Y33" s="184"/>
      <c r="Z33" s="338"/>
      <c r="AA33" s="184"/>
      <c r="AB33" s="184"/>
      <c r="AC33" s="184"/>
    </row>
    <row r="34" spans="1:29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1217.5</v>
      </c>
      <c r="L34" s="43">
        <f aca="true" t="shared" si="4" ref="L34:AC34">L35+L36+L37</f>
        <v>0</v>
      </c>
      <c r="M34" s="43">
        <f t="shared" si="4"/>
        <v>0</v>
      </c>
      <c r="N34" s="341">
        <f t="shared" si="4"/>
        <v>0</v>
      </c>
      <c r="O34" s="43">
        <f t="shared" si="4"/>
        <v>0</v>
      </c>
      <c r="P34" s="43">
        <f t="shared" si="4"/>
        <v>0</v>
      </c>
      <c r="Q34" s="43">
        <f t="shared" si="4"/>
        <v>0</v>
      </c>
      <c r="R34" s="341">
        <f t="shared" si="4"/>
        <v>0</v>
      </c>
      <c r="S34" s="43">
        <f t="shared" si="4"/>
        <v>0</v>
      </c>
      <c r="T34" s="43">
        <f t="shared" si="4"/>
        <v>0</v>
      </c>
      <c r="U34" s="43">
        <f t="shared" si="4"/>
        <v>0</v>
      </c>
      <c r="V34" s="341">
        <f t="shared" si="4"/>
        <v>0</v>
      </c>
      <c r="W34" s="43">
        <f t="shared" si="4"/>
        <v>0</v>
      </c>
      <c r="X34" s="43">
        <f t="shared" si="4"/>
        <v>0</v>
      </c>
      <c r="Y34" s="43">
        <f t="shared" si="4"/>
        <v>0</v>
      </c>
      <c r="Z34" s="341">
        <f t="shared" si="4"/>
        <v>0</v>
      </c>
      <c r="AA34" s="43">
        <f t="shared" si="4"/>
        <v>0</v>
      </c>
      <c r="AB34" s="43">
        <f t="shared" si="4"/>
        <v>0</v>
      </c>
      <c r="AC34" s="43">
        <f t="shared" si="4"/>
        <v>0</v>
      </c>
    </row>
    <row r="35" spans="1:29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84.4</v>
      </c>
      <c r="N35" s="338"/>
      <c r="O35" s="184"/>
      <c r="P35" s="184"/>
      <c r="Q35" s="184"/>
      <c r="R35" s="338"/>
      <c r="S35" s="184"/>
      <c r="T35" s="184"/>
      <c r="U35" s="184"/>
      <c r="V35" s="338"/>
      <c r="W35" s="184"/>
      <c r="X35" s="184"/>
      <c r="Y35" s="184"/>
      <c r="Z35" s="338"/>
      <c r="AA35" s="184"/>
      <c r="AB35" s="184"/>
      <c r="AC35" s="184"/>
    </row>
    <row r="36" spans="1:29" ht="0.75" customHeigh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N36" s="338"/>
      <c r="O36" s="184"/>
      <c r="P36" s="184"/>
      <c r="Q36" s="184"/>
      <c r="R36" s="338"/>
      <c r="S36" s="184"/>
      <c r="T36" s="184"/>
      <c r="U36" s="184"/>
      <c r="V36" s="338"/>
      <c r="W36" s="184"/>
      <c r="X36" s="184"/>
      <c r="Y36" s="184"/>
      <c r="Z36" s="338"/>
      <c r="AA36" s="184"/>
      <c r="AB36" s="184"/>
      <c r="AC36" s="184"/>
    </row>
    <row r="37" spans="1:29" ht="12.75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1133.1</v>
      </c>
      <c r="N37" s="338"/>
      <c r="O37" s="184"/>
      <c r="P37" s="184"/>
      <c r="Q37" s="184"/>
      <c r="R37" s="338"/>
      <c r="S37" s="184"/>
      <c r="T37" s="184"/>
      <c r="U37" s="184"/>
      <c r="V37" s="338"/>
      <c r="W37" s="184"/>
      <c r="X37" s="184"/>
      <c r="Y37" s="184"/>
      <c r="Z37" s="338"/>
      <c r="AA37" s="184"/>
      <c r="AB37" s="184"/>
      <c r="AC37" s="184"/>
    </row>
    <row r="38" spans="1:29" ht="0.75" customHeight="1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342">
        <f>N39+N40</f>
        <v>0</v>
      </c>
      <c r="O38" s="51"/>
      <c r="P38" s="51"/>
      <c r="Q38" s="51"/>
      <c r="R38" s="342">
        <f>R39+R40</f>
        <v>0</v>
      </c>
      <c r="S38" s="51"/>
      <c r="T38" s="51"/>
      <c r="U38" s="51"/>
      <c r="V38" s="342">
        <f>V39+V40</f>
        <v>0</v>
      </c>
      <c r="W38" s="51"/>
      <c r="X38" s="51"/>
      <c r="Y38" s="51"/>
      <c r="Z38" s="342">
        <f>Z39+Z40</f>
        <v>0</v>
      </c>
      <c r="AA38" s="51"/>
      <c r="AB38" s="51"/>
      <c r="AC38" s="51"/>
    </row>
    <row r="39" spans="1:29" ht="24.7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N39" s="338"/>
      <c r="O39" s="184"/>
      <c r="P39" s="184"/>
      <c r="Q39" s="184"/>
      <c r="R39" s="338"/>
      <c r="S39" s="184"/>
      <c r="T39" s="184"/>
      <c r="U39" s="184"/>
      <c r="V39" s="338"/>
      <c r="W39" s="184"/>
      <c r="X39" s="184"/>
      <c r="Y39" s="184"/>
      <c r="Z39" s="338"/>
      <c r="AA39" s="184"/>
      <c r="AB39" s="184"/>
      <c r="AC39" s="184"/>
    </row>
    <row r="40" spans="1:29" ht="24" customHeight="1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N40" s="338"/>
      <c r="O40" s="184"/>
      <c r="P40" s="184"/>
      <c r="Q40" s="184"/>
      <c r="R40" s="338"/>
      <c r="S40" s="184"/>
      <c r="T40" s="184"/>
      <c r="U40" s="184"/>
      <c r="V40" s="338"/>
      <c r="W40" s="184"/>
      <c r="X40" s="184"/>
      <c r="Y40" s="184"/>
      <c r="Z40" s="338"/>
      <c r="AA40" s="184"/>
      <c r="AB40" s="184"/>
      <c r="AC40" s="184"/>
    </row>
    <row r="41" spans="1:29" ht="3" customHeight="1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343">
        <f>N43+N45+N46+N44</f>
        <v>0</v>
      </c>
      <c r="O41" s="124"/>
      <c r="P41" s="124"/>
      <c r="Q41" s="124"/>
      <c r="R41" s="343">
        <f>R43+R45+R46+R44</f>
        <v>0</v>
      </c>
      <c r="S41" s="124"/>
      <c r="T41" s="124"/>
      <c r="U41" s="124"/>
      <c r="V41" s="343">
        <f>V43+V45+V46+V44</f>
        <v>0</v>
      </c>
      <c r="W41" s="124"/>
      <c r="X41" s="124"/>
      <c r="Y41" s="124"/>
      <c r="Z41" s="343">
        <f>Z43+Z45+Z46+Z44</f>
        <v>0</v>
      </c>
      <c r="AA41" s="124"/>
      <c r="AB41" s="124"/>
      <c r="AC41" s="124"/>
    </row>
    <row r="42" spans="1:29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N42" s="338"/>
      <c r="O42" s="184"/>
      <c r="P42" s="184"/>
      <c r="Q42" s="184"/>
      <c r="R42" s="338"/>
      <c r="S42" s="184"/>
      <c r="T42" s="184"/>
      <c r="U42" s="184"/>
      <c r="V42" s="338"/>
      <c r="W42" s="184"/>
      <c r="X42" s="184"/>
      <c r="Y42" s="184"/>
      <c r="Z42" s="338"/>
      <c r="AA42" s="184"/>
      <c r="AB42" s="184"/>
      <c r="AC42" s="184"/>
    </row>
    <row r="43" spans="1:29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N43" s="338"/>
      <c r="O43" s="184"/>
      <c r="P43" s="184"/>
      <c r="Q43" s="184"/>
      <c r="R43" s="338"/>
      <c r="S43" s="184"/>
      <c r="T43" s="184"/>
      <c r="U43" s="184"/>
      <c r="V43" s="338"/>
      <c r="W43" s="184"/>
      <c r="X43" s="184"/>
      <c r="Y43" s="184"/>
      <c r="Z43" s="338"/>
      <c r="AA43" s="184"/>
      <c r="AB43" s="184"/>
      <c r="AC43" s="184"/>
    </row>
    <row r="44" spans="1:29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N44" s="338"/>
      <c r="O44" s="184"/>
      <c r="P44" s="184"/>
      <c r="Q44" s="184"/>
      <c r="R44" s="338"/>
      <c r="S44" s="184"/>
      <c r="T44" s="184"/>
      <c r="U44" s="184"/>
      <c r="V44" s="338"/>
      <c r="W44" s="184"/>
      <c r="X44" s="184"/>
      <c r="Y44" s="184"/>
      <c r="Z44" s="338"/>
      <c r="AA44" s="184"/>
      <c r="AB44" s="184"/>
      <c r="AC44" s="184"/>
    </row>
    <row r="45" spans="1:29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N45" s="338"/>
      <c r="O45" s="184"/>
      <c r="P45" s="184"/>
      <c r="Q45" s="184"/>
      <c r="R45" s="338"/>
      <c r="S45" s="184"/>
      <c r="T45" s="184"/>
      <c r="U45" s="184"/>
      <c r="V45" s="338"/>
      <c r="W45" s="184"/>
      <c r="X45" s="184"/>
      <c r="Y45" s="184"/>
      <c r="Z45" s="338"/>
      <c r="AA45" s="184"/>
      <c r="AB45" s="184"/>
      <c r="AC45" s="184"/>
    </row>
    <row r="46" spans="1:29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N46" s="338"/>
      <c r="O46" s="184"/>
      <c r="P46" s="184"/>
      <c r="Q46" s="184"/>
      <c r="R46" s="338"/>
      <c r="S46" s="184"/>
      <c r="T46" s="184"/>
      <c r="U46" s="184"/>
      <c r="V46" s="338"/>
      <c r="W46" s="184"/>
      <c r="X46" s="184"/>
      <c r="Y46" s="184"/>
      <c r="Z46" s="338"/>
      <c r="AA46" s="184"/>
      <c r="AB46" s="184"/>
      <c r="AC46" s="184"/>
    </row>
    <row r="47" spans="1:29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42">
        <f>K49+K53</f>
        <v>423</v>
      </c>
      <c r="L47" s="142">
        <f aca="true" t="shared" si="5" ref="L47:AC47">L49+L53</f>
        <v>0</v>
      </c>
      <c r="M47" s="142">
        <f t="shared" si="5"/>
        <v>0</v>
      </c>
      <c r="N47" s="344">
        <f t="shared" si="5"/>
        <v>0</v>
      </c>
      <c r="O47" s="142">
        <f t="shared" si="5"/>
        <v>0</v>
      </c>
      <c r="P47" s="142">
        <f t="shared" si="5"/>
        <v>0</v>
      </c>
      <c r="Q47" s="142">
        <f t="shared" si="5"/>
        <v>0</v>
      </c>
      <c r="R47" s="344">
        <f t="shared" si="5"/>
        <v>0</v>
      </c>
      <c r="S47" s="142">
        <f t="shared" si="5"/>
        <v>0</v>
      </c>
      <c r="T47" s="142">
        <f t="shared" si="5"/>
        <v>0</v>
      </c>
      <c r="U47" s="142">
        <f t="shared" si="5"/>
        <v>0</v>
      </c>
      <c r="V47" s="344">
        <f t="shared" si="5"/>
        <v>0</v>
      </c>
      <c r="W47" s="142">
        <f t="shared" si="5"/>
        <v>0</v>
      </c>
      <c r="X47" s="142">
        <f t="shared" si="5"/>
        <v>0</v>
      </c>
      <c r="Y47" s="142">
        <f t="shared" si="5"/>
        <v>0</v>
      </c>
      <c r="Z47" s="344">
        <f t="shared" si="5"/>
        <v>0</v>
      </c>
      <c r="AA47" s="142">
        <f t="shared" si="5"/>
        <v>0</v>
      </c>
      <c r="AB47" s="142">
        <f t="shared" si="5"/>
        <v>0</v>
      </c>
      <c r="AC47" s="142">
        <f t="shared" si="5"/>
        <v>0</v>
      </c>
    </row>
    <row r="48" spans="1:29" ht="12.75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134"/>
      <c r="N48" s="338"/>
      <c r="O48" s="184"/>
      <c r="P48" s="184"/>
      <c r="Q48" s="184"/>
      <c r="R48" s="338"/>
      <c r="S48" s="184"/>
      <c r="T48" s="184"/>
      <c r="U48" s="184"/>
      <c r="V48" s="338"/>
      <c r="W48" s="184"/>
      <c r="X48" s="184"/>
      <c r="Y48" s="184"/>
      <c r="Z48" s="338"/>
      <c r="AA48" s="184"/>
      <c r="AB48" s="184"/>
      <c r="AC48" s="184"/>
    </row>
    <row r="49" spans="1:29" s="116" customFormat="1" ht="21" customHeigh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423</v>
      </c>
      <c r="L49" s="121">
        <f aca="true" t="shared" si="6" ref="L49:Z49">L50</f>
        <v>0</v>
      </c>
      <c r="M49" s="121">
        <f t="shared" si="6"/>
        <v>0</v>
      </c>
      <c r="N49" s="345">
        <f t="shared" si="6"/>
        <v>0</v>
      </c>
      <c r="O49" s="121">
        <f t="shared" si="6"/>
        <v>0</v>
      </c>
      <c r="P49" s="121">
        <f t="shared" si="6"/>
        <v>0</v>
      </c>
      <c r="Q49" s="121">
        <f t="shared" si="6"/>
        <v>0</v>
      </c>
      <c r="R49" s="345">
        <f t="shared" si="6"/>
        <v>0</v>
      </c>
      <c r="S49" s="121">
        <f t="shared" si="6"/>
        <v>0</v>
      </c>
      <c r="T49" s="121">
        <f t="shared" si="6"/>
        <v>0</v>
      </c>
      <c r="U49" s="121">
        <f t="shared" si="6"/>
        <v>0</v>
      </c>
      <c r="V49" s="345">
        <f t="shared" si="6"/>
        <v>0</v>
      </c>
      <c r="W49" s="121">
        <f t="shared" si="6"/>
        <v>0</v>
      </c>
      <c r="X49" s="121">
        <f t="shared" si="6"/>
        <v>0</v>
      </c>
      <c r="Y49" s="121">
        <f t="shared" si="6"/>
        <v>0</v>
      </c>
      <c r="Z49" s="345">
        <f t="shared" si="6"/>
        <v>0</v>
      </c>
      <c r="AA49" s="121"/>
      <c r="AB49" s="121"/>
      <c r="AC49" s="121"/>
    </row>
    <row r="50" spans="1:29" s="119" customFormat="1" ht="22.5" customHeigh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18">
        <v>423</v>
      </c>
      <c r="N50" s="346"/>
      <c r="O50" s="186"/>
      <c r="P50" s="186"/>
      <c r="Q50" s="186"/>
      <c r="R50" s="346"/>
      <c r="S50" s="186"/>
      <c r="T50" s="186"/>
      <c r="U50" s="186"/>
      <c r="V50" s="346"/>
      <c r="W50" s="186"/>
      <c r="X50" s="186"/>
      <c r="Y50" s="186"/>
      <c r="Z50" s="346"/>
      <c r="AA50" s="186"/>
      <c r="AB50" s="186"/>
      <c r="AC50" s="186"/>
    </row>
    <row r="51" spans="1:29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N51" s="338"/>
      <c r="O51" s="184"/>
      <c r="P51" s="184"/>
      <c r="Q51" s="184"/>
      <c r="R51" s="338"/>
      <c r="S51" s="184"/>
      <c r="T51" s="184"/>
      <c r="U51" s="184"/>
      <c r="V51" s="338"/>
      <c r="W51" s="184"/>
      <c r="X51" s="184"/>
      <c r="Y51" s="184"/>
      <c r="Z51" s="338"/>
      <c r="AA51" s="184"/>
      <c r="AB51" s="184"/>
      <c r="AC51" s="184"/>
    </row>
    <row r="52" spans="1:29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N52" s="338"/>
      <c r="O52" s="184"/>
      <c r="P52" s="184"/>
      <c r="Q52" s="184"/>
      <c r="R52" s="338"/>
      <c r="S52" s="184"/>
      <c r="T52" s="184"/>
      <c r="U52" s="184"/>
      <c r="V52" s="338"/>
      <c r="W52" s="184"/>
      <c r="X52" s="184"/>
      <c r="Y52" s="184"/>
      <c r="Z52" s="338"/>
      <c r="AA52" s="184"/>
      <c r="AB52" s="184"/>
      <c r="AC52" s="184"/>
    </row>
    <row r="53" spans="1:29" s="116" customFormat="1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0</v>
      </c>
      <c r="L53" s="121">
        <f>L54</f>
        <v>0</v>
      </c>
      <c r="M53" s="121">
        <f>M54</f>
        <v>0</v>
      </c>
      <c r="N53" s="345">
        <f>N54</f>
        <v>0</v>
      </c>
      <c r="O53" s="184"/>
      <c r="P53" s="184"/>
      <c r="Q53" s="184"/>
      <c r="R53" s="345">
        <f>R54</f>
        <v>0</v>
      </c>
      <c r="S53" s="184"/>
      <c r="T53" s="184"/>
      <c r="U53" s="184"/>
      <c r="V53" s="345"/>
      <c r="W53" s="184"/>
      <c r="X53" s="184"/>
      <c r="Y53" s="184"/>
      <c r="Z53" s="345">
        <f>Z54</f>
        <v>0</v>
      </c>
      <c r="AA53" s="184"/>
      <c r="AB53" s="184"/>
      <c r="AC53" s="184"/>
    </row>
    <row r="54" spans="1:29" ht="22.5" customHeight="1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/>
      <c r="N54" s="338"/>
      <c r="O54" s="184"/>
      <c r="P54" s="184"/>
      <c r="Q54" s="184"/>
      <c r="R54" s="338"/>
      <c r="S54" s="184"/>
      <c r="T54" s="184"/>
      <c r="U54" s="184"/>
      <c r="V54" s="338"/>
      <c r="W54" s="184"/>
      <c r="X54" s="184"/>
      <c r="Y54" s="184"/>
      <c r="Z54" s="338"/>
      <c r="AA54" s="184"/>
      <c r="AB54" s="184"/>
      <c r="AC54" s="184"/>
    </row>
    <row r="55" spans="1:29" ht="3.75" customHeight="1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K56+K58</f>
        <v>0</v>
      </c>
      <c r="L55" s="43">
        <f>L56+L58</f>
        <v>0</v>
      </c>
      <c r="M55" s="43">
        <f>M56+M58</f>
        <v>0</v>
      </c>
      <c r="N55" s="341">
        <f>N56+N58</f>
        <v>0</v>
      </c>
      <c r="O55" s="43"/>
      <c r="P55" s="43"/>
      <c r="Q55" s="43"/>
      <c r="R55" s="341">
        <f>R56+R58</f>
        <v>0</v>
      </c>
      <c r="S55" s="43"/>
      <c r="T55" s="43"/>
      <c r="U55" s="43"/>
      <c r="V55" s="341">
        <f>V56+V58</f>
        <v>0</v>
      </c>
      <c r="W55" s="43"/>
      <c r="X55" s="43"/>
      <c r="Y55" s="43"/>
      <c r="Z55" s="341">
        <f>Z56+Z58</f>
        <v>0</v>
      </c>
      <c r="AA55" s="43"/>
      <c r="AB55" s="43"/>
      <c r="AC55" s="43"/>
    </row>
    <row r="56" spans="1:29" s="116" customFormat="1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21">
        <v>0</v>
      </c>
      <c r="N56" s="347"/>
      <c r="O56" s="185"/>
      <c r="P56" s="185"/>
      <c r="Q56" s="185"/>
      <c r="R56" s="347"/>
      <c r="S56" s="185"/>
      <c r="T56" s="185"/>
      <c r="U56" s="185"/>
      <c r="V56" s="347"/>
      <c r="W56" s="185"/>
      <c r="X56" s="185"/>
      <c r="Y56" s="185"/>
      <c r="Z56" s="347"/>
      <c r="AA56" s="185"/>
      <c r="AB56" s="185"/>
      <c r="AC56" s="185"/>
    </row>
    <row r="57" spans="1:29" s="116" customFormat="1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21">
        <f>K58+K59+K60</f>
        <v>0</v>
      </c>
      <c r="N57" s="347"/>
      <c r="O57" s="185"/>
      <c r="P57" s="185"/>
      <c r="Q57" s="185"/>
      <c r="R57" s="347"/>
      <c r="S57" s="185"/>
      <c r="T57" s="185"/>
      <c r="U57" s="185"/>
      <c r="V57" s="347"/>
      <c r="W57" s="185"/>
      <c r="X57" s="185"/>
      <c r="Y57" s="185"/>
      <c r="Z57" s="347"/>
      <c r="AA57" s="185"/>
      <c r="AB57" s="185"/>
      <c r="AC57" s="185"/>
    </row>
    <row r="58" spans="1:29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N58" s="338"/>
      <c r="O58" s="184"/>
      <c r="P58" s="184"/>
      <c r="Q58" s="184"/>
      <c r="R58" s="338"/>
      <c r="S58" s="184"/>
      <c r="T58" s="184"/>
      <c r="U58" s="184"/>
      <c r="V58" s="338"/>
      <c r="W58" s="184"/>
      <c r="X58" s="184"/>
      <c r="Y58" s="184"/>
      <c r="Z58" s="338"/>
      <c r="AA58" s="184"/>
      <c r="AB58" s="184"/>
      <c r="AC58" s="184"/>
    </row>
    <row r="59" spans="1:29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N59" s="338"/>
      <c r="O59" s="184"/>
      <c r="P59" s="184"/>
      <c r="Q59" s="184"/>
      <c r="R59" s="338"/>
      <c r="S59" s="184"/>
      <c r="T59" s="184"/>
      <c r="U59" s="184"/>
      <c r="V59" s="338"/>
      <c r="W59" s="184"/>
      <c r="X59" s="184"/>
      <c r="Y59" s="184"/>
      <c r="Z59" s="338"/>
      <c r="AA59" s="184"/>
      <c r="AB59" s="184"/>
      <c r="AC59" s="184"/>
    </row>
    <row r="60" spans="1:29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N60" s="338"/>
      <c r="O60" s="184"/>
      <c r="P60" s="184"/>
      <c r="Q60" s="184"/>
      <c r="R60" s="338"/>
      <c r="S60" s="184"/>
      <c r="T60" s="184"/>
      <c r="U60" s="184"/>
      <c r="V60" s="338"/>
      <c r="W60" s="184"/>
      <c r="X60" s="184"/>
      <c r="Y60" s="184"/>
      <c r="Z60" s="338"/>
      <c r="AA60" s="184"/>
      <c r="AB60" s="184"/>
      <c r="AC60" s="184"/>
    </row>
    <row r="61" spans="1:29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348">
        <f>N62</f>
        <v>0</v>
      </c>
      <c r="O61" s="68"/>
      <c r="P61" s="68"/>
      <c r="Q61" s="68"/>
      <c r="R61" s="348">
        <f>R62</f>
        <v>0</v>
      </c>
      <c r="S61" s="68"/>
      <c r="T61" s="68"/>
      <c r="U61" s="68"/>
      <c r="V61" s="348">
        <f>V62</f>
        <v>0</v>
      </c>
      <c r="W61" s="68"/>
      <c r="X61" s="68"/>
      <c r="Y61" s="68"/>
      <c r="Z61" s="348">
        <f>Z62</f>
        <v>0</v>
      </c>
      <c r="AA61" s="68"/>
      <c r="AB61" s="68"/>
      <c r="AC61" s="68"/>
    </row>
    <row r="62" spans="1:29" s="131" customFormat="1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30">
        <f>K63</f>
        <v>0</v>
      </c>
      <c r="N62" s="349"/>
      <c r="O62" s="187"/>
      <c r="P62" s="187"/>
      <c r="Q62" s="187"/>
      <c r="R62" s="349"/>
      <c r="S62" s="187"/>
      <c r="T62" s="187"/>
      <c r="U62" s="187"/>
      <c r="V62" s="349"/>
      <c r="W62" s="187"/>
      <c r="X62" s="187"/>
      <c r="Y62" s="187"/>
      <c r="Z62" s="349"/>
      <c r="AA62" s="187"/>
      <c r="AB62" s="187"/>
      <c r="AC62" s="187"/>
    </row>
    <row r="63" spans="1:29" ht="36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N63" s="338"/>
      <c r="O63" s="184"/>
      <c r="P63" s="184"/>
      <c r="Q63" s="184"/>
      <c r="R63" s="338"/>
      <c r="S63" s="184"/>
      <c r="T63" s="184"/>
      <c r="U63" s="184"/>
      <c r="V63" s="338"/>
      <c r="W63" s="184"/>
      <c r="X63" s="184"/>
      <c r="Y63" s="184"/>
      <c r="Z63" s="338"/>
      <c r="AA63" s="184"/>
      <c r="AB63" s="184"/>
      <c r="AC63" s="184"/>
    </row>
    <row r="64" spans="1:29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L64" s="51">
        <v>0</v>
      </c>
      <c r="M64" s="51">
        <v>0</v>
      </c>
      <c r="N64" s="342"/>
      <c r="O64" s="51"/>
      <c r="P64" s="51"/>
      <c r="Q64" s="51"/>
      <c r="R64" s="342"/>
      <c r="S64" s="51"/>
      <c r="T64" s="51"/>
      <c r="U64" s="51"/>
      <c r="V64" s="342"/>
      <c r="W64" s="51"/>
      <c r="X64" s="51"/>
      <c r="Y64" s="51"/>
      <c r="Z64" s="342"/>
      <c r="AA64" s="51"/>
      <c r="AB64" s="51"/>
      <c r="AC64" s="51"/>
    </row>
    <row r="65" spans="1:29" ht="31.5" customHeight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N65" s="338"/>
      <c r="O65" s="184"/>
      <c r="P65" s="184"/>
      <c r="Q65" s="184"/>
      <c r="R65" s="338"/>
      <c r="S65" s="184"/>
      <c r="T65" s="184"/>
      <c r="U65" s="184"/>
      <c r="V65" s="338"/>
      <c r="W65" s="184"/>
      <c r="X65" s="184"/>
      <c r="Y65" s="184"/>
      <c r="Z65" s="338"/>
      <c r="AA65" s="184"/>
      <c r="AB65" s="184"/>
      <c r="AC65" s="184"/>
    </row>
    <row r="66" spans="1:29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 aca="true" t="shared" si="7" ref="K66:AC66">K69+K71+K72+K83+K90+K91</f>
        <v>0</v>
      </c>
      <c r="L66" s="43">
        <f t="shared" si="7"/>
        <v>0</v>
      </c>
      <c r="M66" s="43">
        <f t="shared" si="7"/>
        <v>0</v>
      </c>
      <c r="N66" s="341">
        <f t="shared" si="7"/>
        <v>0</v>
      </c>
      <c r="O66" s="43">
        <f t="shared" si="7"/>
        <v>0</v>
      </c>
      <c r="P66" s="43">
        <f t="shared" si="7"/>
        <v>0</v>
      </c>
      <c r="Q66" s="43">
        <f t="shared" si="7"/>
        <v>0</v>
      </c>
      <c r="R66" s="341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341">
        <f t="shared" si="7"/>
        <v>0</v>
      </c>
      <c r="W66" s="43">
        <f t="shared" si="7"/>
        <v>0</v>
      </c>
      <c r="X66" s="43">
        <f t="shared" si="7"/>
        <v>0</v>
      </c>
      <c r="Y66" s="43">
        <f t="shared" si="7"/>
        <v>0</v>
      </c>
      <c r="Z66" s="341">
        <f t="shared" si="7"/>
        <v>0</v>
      </c>
      <c r="AA66" s="43">
        <f t="shared" si="7"/>
        <v>0</v>
      </c>
      <c r="AB66" s="43">
        <f t="shared" si="7"/>
        <v>0</v>
      </c>
      <c r="AC66" s="43">
        <f t="shared" si="7"/>
        <v>0</v>
      </c>
    </row>
    <row r="67" spans="1:29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N67" s="338"/>
      <c r="O67" s="184"/>
      <c r="P67" s="184"/>
      <c r="Q67" s="184"/>
      <c r="R67" s="338"/>
      <c r="S67" s="184"/>
      <c r="T67" s="184"/>
      <c r="U67" s="184"/>
      <c r="V67" s="338"/>
      <c r="W67" s="184"/>
      <c r="X67" s="184"/>
      <c r="Y67" s="184"/>
      <c r="Z67" s="338"/>
      <c r="AA67" s="184"/>
      <c r="AB67" s="184"/>
      <c r="AC67" s="184"/>
    </row>
    <row r="68" spans="1:29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0</v>
      </c>
      <c r="L68" s="45">
        <f aca="true" t="shared" si="8" ref="L68:AC68">L69+L70+L71</f>
        <v>0</v>
      </c>
      <c r="M68" s="45">
        <f t="shared" si="8"/>
        <v>0</v>
      </c>
      <c r="N68" s="340">
        <f t="shared" si="8"/>
        <v>0</v>
      </c>
      <c r="O68" s="45">
        <f t="shared" si="8"/>
        <v>0</v>
      </c>
      <c r="P68" s="45">
        <f t="shared" si="8"/>
        <v>0</v>
      </c>
      <c r="Q68" s="45">
        <f t="shared" si="8"/>
        <v>0</v>
      </c>
      <c r="R68" s="340">
        <f t="shared" si="8"/>
        <v>0</v>
      </c>
      <c r="S68" s="45">
        <f t="shared" si="8"/>
        <v>0</v>
      </c>
      <c r="T68" s="45">
        <f t="shared" si="8"/>
        <v>0</v>
      </c>
      <c r="U68" s="45">
        <f t="shared" si="8"/>
        <v>0</v>
      </c>
      <c r="V68" s="340">
        <f t="shared" si="8"/>
        <v>0</v>
      </c>
      <c r="W68" s="45">
        <f t="shared" si="8"/>
        <v>0</v>
      </c>
      <c r="X68" s="45">
        <f t="shared" si="8"/>
        <v>0</v>
      </c>
      <c r="Y68" s="45">
        <f t="shared" si="8"/>
        <v>0</v>
      </c>
      <c r="Z68" s="340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</row>
    <row r="69" spans="1:29" s="119" customFormat="1" ht="25.5" customHeight="1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18"/>
      <c r="N69" s="346"/>
      <c r="O69" s="186"/>
      <c r="P69" s="186"/>
      <c r="Q69" s="186"/>
      <c r="R69" s="346"/>
      <c r="S69" s="186"/>
      <c r="T69" s="186"/>
      <c r="U69" s="186"/>
      <c r="V69" s="346"/>
      <c r="W69" s="186"/>
      <c r="X69" s="186"/>
      <c r="Y69" s="186"/>
      <c r="Z69" s="346"/>
      <c r="AA69" s="186"/>
      <c r="AB69" s="186"/>
      <c r="AC69" s="186"/>
    </row>
    <row r="70" spans="1:29" s="119" customFormat="1" ht="36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18">
        <v>0</v>
      </c>
      <c r="N70" s="346"/>
      <c r="O70" s="186"/>
      <c r="P70" s="186"/>
      <c r="Q70" s="186"/>
      <c r="R70" s="346"/>
      <c r="S70" s="186"/>
      <c r="T70" s="186"/>
      <c r="U70" s="186"/>
      <c r="V70" s="346"/>
      <c r="W70" s="186"/>
      <c r="X70" s="186"/>
      <c r="Y70" s="186"/>
      <c r="Z70" s="346"/>
      <c r="AA70" s="186"/>
      <c r="AB70" s="186"/>
      <c r="AC70" s="186"/>
    </row>
    <row r="71" spans="1:29" s="119" customFormat="1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18">
        <v>0</v>
      </c>
      <c r="N71" s="346"/>
      <c r="O71" s="186"/>
      <c r="P71" s="186"/>
      <c r="Q71" s="186"/>
      <c r="R71" s="346"/>
      <c r="S71" s="186"/>
      <c r="T71" s="186"/>
      <c r="U71" s="186"/>
      <c r="V71" s="346"/>
      <c r="W71" s="186"/>
      <c r="X71" s="186"/>
      <c r="Y71" s="186"/>
      <c r="Z71" s="346"/>
      <c r="AA71" s="186"/>
      <c r="AB71" s="186"/>
      <c r="AC71" s="186"/>
    </row>
    <row r="72" spans="1:29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340">
        <f>N73+N74+N75+N76+N77+N78+N79+N80+N81</f>
        <v>0</v>
      </c>
      <c r="O72" s="45"/>
      <c r="P72" s="45"/>
      <c r="Q72" s="45"/>
      <c r="R72" s="340">
        <f>R73+R74+R75+R76+R77+R78+R79+R80+R81</f>
        <v>0</v>
      </c>
      <c r="S72" s="45"/>
      <c r="T72" s="45"/>
      <c r="U72" s="45"/>
      <c r="V72" s="340">
        <f>V73+V74+V75+V76+V77+V78+V79+V80+V81</f>
        <v>0</v>
      </c>
      <c r="W72" s="45"/>
      <c r="X72" s="45"/>
      <c r="Y72" s="45"/>
      <c r="Z72" s="340">
        <f>Z73+Z74+Z75+Z76+Z77+Z78+Z79+Z80+Z81</f>
        <v>0</v>
      </c>
      <c r="AA72" s="45"/>
      <c r="AB72" s="45"/>
      <c r="AC72" s="45"/>
    </row>
    <row r="73" spans="1:29" ht="0.75" customHeigh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N73" s="338"/>
      <c r="O73" s="184"/>
      <c r="P73" s="184"/>
      <c r="Q73" s="184"/>
      <c r="R73" s="338"/>
      <c r="S73" s="184"/>
      <c r="T73" s="184"/>
      <c r="U73" s="184"/>
      <c r="V73" s="338"/>
      <c r="W73" s="184"/>
      <c r="X73" s="184"/>
      <c r="Y73" s="184"/>
      <c r="Z73" s="338"/>
      <c r="AA73" s="184"/>
      <c r="AB73" s="184"/>
      <c r="AC73" s="184"/>
    </row>
    <row r="74" spans="1:29" ht="36" hidden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N74" s="338"/>
      <c r="O74" s="184"/>
      <c r="P74" s="184"/>
      <c r="Q74" s="184"/>
      <c r="R74" s="338"/>
      <c r="S74" s="184"/>
      <c r="T74" s="184"/>
      <c r="U74" s="184"/>
      <c r="V74" s="338"/>
      <c r="W74" s="184"/>
      <c r="X74" s="184"/>
      <c r="Y74" s="184"/>
      <c r="Z74" s="338"/>
      <c r="AA74" s="184"/>
      <c r="AB74" s="184"/>
      <c r="AC74" s="184"/>
    </row>
    <row r="75" spans="1:29" ht="33" customHeigh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N75" s="338"/>
      <c r="O75" s="184"/>
      <c r="P75" s="184"/>
      <c r="Q75" s="184"/>
      <c r="R75" s="338"/>
      <c r="S75" s="184"/>
      <c r="T75" s="184"/>
      <c r="U75" s="184"/>
      <c r="V75" s="338"/>
      <c r="W75" s="184"/>
      <c r="X75" s="184"/>
      <c r="Y75" s="184"/>
      <c r="Z75" s="338"/>
      <c r="AA75" s="184"/>
      <c r="AB75" s="184"/>
      <c r="AC75" s="184"/>
    </row>
    <row r="76" spans="1:29" ht="24" hidden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N76" s="338"/>
      <c r="O76" s="184"/>
      <c r="P76" s="184"/>
      <c r="Q76" s="184"/>
      <c r="R76" s="338"/>
      <c r="S76" s="184"/>
      <c r="T76" s="184"/>
      <c r="U76" s="184"/>
      <c r="V76" s="338"/>
      <c r="W76" s="184"/>
      <c r="X76" s="184"/>
      <c r="Y76" s="184"/>
      <c r="Z76" s="338"/>
      <c r="AA76" s="184"/>
      <c r="AB76" s="184"/>
      <c r="AC76" s="184"/>
    </row>
    <row r="77" spans="1:29" ht="48" hidden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N77" s="338"/>
      <c r="O77" s="184"/>
      <c r="P77" s="184"/>
      <c r="Q77" s="184"/>
      <c r="R77" s="338"/>
      <c r="S77" s="184"/>
      <c r="T77" s="184"/>
      <c r="U77" s="184"/>
      <c r="V77" s="338"/>
      <c r="W77" s="184"/>
      <c r="X77" s="184"/>
      <c r="Y77" s="184"/>
      <c r="Z77" s="338"/>
      <c r="AA77" s="184"/>
      <c r="AB77" s="184"/>
      <c r="AC77" s="184"/>
    </row>
    <row r="78" spans="1:29" ht="48" hidden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N78" s="338"/>
      <c r="O78" s="184"/>
      <c r="P78" s="184"/>
      <c r="Q78" s="184"/>
      <c r="R78" s="338"/>
      <c r="S78" s="184"/>
      <c r="T78" s="184"/>
      <c r="U78" s="184"/>
      <c r="V78" s="338"/>
      <c r="W78" s="184"/>
      <c r="X78" s="184"/>
      <c r="Y78" s="184"/>
      <c r="Z78" s="338"/>
      <c r="AA78" s="184"/>
      <c r="AB78" s="184"/>
      <c r="AC78" s="184"/>
    </row>
    <row r="79" spans="1:29" ht="48" hidden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N79" s="338"/>
      <c r="O79" s="184"/>
      <c r="P79" s="184"/>
      <c r="Q79" s="184"/>
      <c r="R79" s="338"/>
      <c r="S79" s="184"/>
      <c r="T79" s="184"/>
      <c r="U79" s="184"/>
      <c r="V79" s="338"/>
      <c r="W79" s="184"/>
      <c r="X79" s="184"/>
      <c r="Y79" s="184"/>
      <c r="Z79" s="338"/>
      <c r="AA79" s="184"/>
      <c r="AB79" s="184"/>
      <c r="AC79" s="184"/>
    </row>
    <row r="80" spans="1:29" ht="35.25" customHeight="1" hidden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N80" s="338"/>
      <c r="O80" s="184"/>
      <c r="P80" s="184"/>
      <c r="Q80" s="184"/>
      <c r="R80" s="338"/>
      <c r="S80" s="184"/>
      <c r="T80" s="184"/>
      <c r="U80" s="184"/>
      <c r="V80" s="338"/>
      <c r="W80" s="184"/>
      <c r="X80" s="184"/>
      <c r="Y80" s="184"/>
      <c r="Z80" s="338"/>
      <c r="AA80" s="184"/>
      <c r="AB80" s="184"/>
      <c r="AC80" s="184"/>
    </row>
    <row r="81" spans="1:29" ht="12.75">
      <c r="A81" s="25"/>
      <c r="B81" s="93" t="s">
        <v>259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N81" s="338"/>
      <c r="O81" s="184"/>
      <c r="P81" s="184"/>
      <c r="Q81" s="184"/>
      <c r="R81" s="338"/>
      <c r="S81" s="184"/>
      <c r="T81" s="184"/>
      <c r="U81" s="184"/>
      <c r="V81" s="338"/>
      <c r="W81" s="184"/>
      <c r="X81" s="184"/>
      <c r="Y81" s="184"/>
      <c r="Z81" s="338"/>
      <c r="AA81" s="184"/>
      <c r="AB81" s="184"/>
      <c r="AC81" s="184"/>
    </row>
    <row r="82" spans="1:29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N82" s="338"/>
      <c r="O82" s="184"/>
      <c r="P82" s="184"/>
      <c r="Q82" s="184"/>
      <c r="R82" s="338"/>
      <c r="S82" s="184"/>
      <c r="T82" s="184"/>
      <c r="U82" s="184"/>
      <c r="V82" s="338"/>
      <c r="W82" s="184"/>
      <c r="X82" s="184"/>
      <c r="Y82" s="184"/>
      <c r="Z82" s="338"/>
      <c r="AA82" s="184"/>
      <c r="AB82" s="184"/>
      <c r="AC82" s="184"/>
    </row>
    <row r="83" spans="1:29" ht="47.25" customHeight="1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340">
        <f>N85+N86+N87+N88+N89</f>
        <v>0</v>
      </c>
      <c r="O83" s="45"/>
      <c r="P83" s="45"/>
      <c r="Q83" s="45"/>
      <c r="R83" s="340">
        <f>R85+R86+R87+R88+R89</f>
        <v>0</v>
      </c>
      <c r="S83" s="45"/>
      <c r="T83" s="45"/>
      <c r="U83" s="45"/>
      <c r="V83" s="340">
        <f>V85+V86+V87+V88+V89</f>
        <v>0</v>
      </c>
      <c r="W83" s="45"/>
      <c r="X83" s="45"/>
      <c r="Y83" s="45"/>
      <c r="Z83" s="340">
        <f>Z85+Z86+Z87+Z88+Z89</f>
        <v>0</v>
      </c>
      <c r="AA83" s="45"/>
      <c r="AB83" s="45"/>
      <c r="AC83" s="45"/>
    </row>
    <row r="84" spans="1:29" ht="29.25" customHeight="1" hidden="1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350"/>
      <c r="O84" s="189"/>
      <c r="P84" s="189"/>
      <c r="Q84" s="189"/>
      <c r="R84" s="350"/>
      <c r="S84" s="189"/>
      <c r="T84" s="189"/>
      <c r="U84" s="189"/>
      <c r="V84" s="350"/>
      <c r="W84" s="189"/>
      <c r="X84" s="189"/>
      <c r="Y84" s="189"/>
      <c r="Z84" s="350"/>
      <c r="AA84" s="189"/>
      <c r="AB84" s="189"/>
      <c r="AC84" s="189"/>
    </row>
    <row r="85" spans="1:29" ht="12.75" hidden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N85" s="338"/>
      <c r="O85" s="184"/>
      <c r="P85" s="184"/>
      <c r="Q85" s="184"/>
      <c r="R85" s="338"/>
      <c r="S85" s="184"/>
      <c r="T85" s="184"/>
      <c r="U85" s="184"/>
      <c r="V85" s="338"/>
      <c r="W85" s="184"/>
      <c r="X85" s="184"/>
      <c r="Y85" s="184"/>
      <c r="Z85" s="338"/>
      <c r="AA85" s="184"/>
      <c r="AB85" s="184"/>
      <c r="AC85" s="184"/>
    </row>
    <row r="86" spans="1:29" ht="12.75" hidden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N86" s="338"/>
      <c r="O86" s="184"/>
      <c r="P86" s="184"/>
      <c r="Q86" s="184"/>
      <c r="R86" s="338"/>
      <c r="S86" s="184"/>
      <c r="T86" s="184"/>
      <c r="U86" s="184"/>
      <c r="V86" s="338"/>
      <c r="W86" s="184"/>
      <c r="X86" s="184"/>
      <c r="Y86" s="184"/>
      <c r="Z86" s="338"/>
      <c r="AA86" s="184"/>
      <c r="AB86" s="184"/>
      <c r="AC86" s="184"/>
    </row>
    <row r="87" spans="1:29" ht="12.75" hidden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N87" s="338"/>
      <c r="O87" s="184"/>
      <c r="P87" s="184"/>
      <c r="Q87" s="184"/>
      <c r="R87" s="338"/>
      <c r="S87" s="184"/>
      <c r="T87" s="184"/>
      <c r="U87" s="184"/>
      <c r="V87" s="338"/>
      <c r="W87" s="184"/>
      <c r="X87" s="184"/>
      <c r="Y87" s="184"/>
      <c r="Z87" s="338"/>
      <c r="AA87" s="184"/>
      <c r="AB87" s="184"/>
      <c r="AC87" s="184"/>
    </row>
    <row r="88" spans="1:29" ht="12.75" hidden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N88" s="338"/>
      <c r="O88" s="184"/>
      <c r="P88" s="184"/>
      <c r="Q88" s="184"/>
      <c r="R88" s="338"/>
      <c r="S88" s="184"/>
      <c r="T88" s="184"/>
      <c r="U88" s="184"/>
      <c r="V88" s="338"/>
      <c r="W88" s="184"/>
      <c r="X88" s="184"/>
      <c r="Y88" s="184"/>
      <c r="Z88" s="338"/>
      <c r="AA88" s="184"/>
      <c r="AB88" s="184"/>
      <c r="AC88" s="184"/>
    </row>
    <row r="89" spans="1:29" ht="12.75" hidden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N89" s="338"/>
      <c r="O89" s="184"/>
      <c r="P89" s="184"/>
      <c r="Q89" s="184"/>
      <c r="R89" s="338"/>
      <c r="S89" s="184"/>
      <c r="T89" s="184"/>
      <c r="U89" s="184"/>
      <c r="V89" s="338"/>
      <c r="W89" s="184"/>
      <c r="X89" s="184"/>
      <c r="Y89" s="184"/>
      <c r="Z89" s="338"/>
      <c r="AA89" s="184"/>
      <c r="AB89" s="184"/>
      <c r="AC89" s="184"/>
    </row>
    <row r="90" spans="1:29" ht="62.25" customHeight="1" thickBot="1">
      <c r="A90" s="27" t="s">
        <v>97</v>
      </c>
      <c r="B90" s="296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/>
      <c r="N90" s="338"/>
      <c r="O90" s="184"/>
      <c r="P90" s="184"/>
      <c r="Q90" s="184"/>
      <c r="R90" s="338"/>
      <c r="S90" s="184"/>
      <c r="T90" s="184"/>
      <c r="U90" s="184"/>
      <c r="V90" s="338"/>
      <c r="W90" s="184"/>
      <c r="X90" s="184"/>
      <c r="Y90" s="184"/>
      <c r="Z90" s="338"/>
      <c r="AA90" s="184"/>
      <c r="AB90" s="184"/>
      <c r="AC90" s="184"/>
    </row>
    <row r="91" spans="1:29" ht="24.75" thickBot="1">
      <c r="A91" s="32" t="s">
        <v>50</v>
      </c>
      <c r="B91" s="297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7">
        <v>0</v>
      </c>
      <c r="N91" s="338"/>
      <c r="O91" s="184"/>
      <c r="P91" s="184"/>
      <c r="Q91" s="184"/>
      <c r="R91" s="338"/>
      <c r="S91" s="184"/>
      <c r="T91" s="184"/>
      <c r="U91" s="184"/>
      <c r="V91" s="338"/>
      <c r="W91" s="184"/>
      <c r="X91" s="184"/>
      <c r="Y91" s="184"/>
      <c r="Z91" s="338"/>
      <c r="AA91" s="184"/>
      <c r="AB91" s="184"/>
      <c r="AC91" s="184"/>
    </row>
    <row r="92" spans="1:30" ht="29.25" customHeight="1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0</v>
      </c>
      <c r="L92" s="43">
        <f>L93+L95</f>
        <v>0</v>
      </c>
      <c r="M92" s="43">
        <f>M93+M95</f>
        <v>0</v>
      </c>
      <c r="N92" s="341">
        <f>N93+N95</f>
        <v>0</v>
      </c>
      <c r="O92" s="43">
        <f aca="true" t="shared" si="9" ref="O92:AC92">O93+O95</f>
        <v>0</v>
      </c>
      <c r="P92" s="43">
        <f t="shared" si="9"/>
        <v>0</v>
      </c>
      <c r="Q92" s="43">
        <f t="shared" si="9"/>
        <v>0</v>
      </c>
      <c r="R92" s="341">
        <f t="shared" si="9"/>
        <v>0</v>
      </c>
      <c r="S92" s="43">
        <f t="shared" si="9"/>
        <v>0</v>
      </c>
      <c r="T92" s="43">
        <f t="shared" si="9"/>
        <v>0</v>
      </c>
      <c r="U92" s="43">
        <f t="shared" si="9"/>
        <v>0</v>
      </c>
      <c r="V92" s="341">
        <f t="shared" si="9"/>
        <v>0</v>
      </c>
      <c r="W92" s="43">
        <f t="shared" si="9"/>
        <v>0</v>
      </c>
      <c r="X92" s="43">
        <f t="shared" si="9"/>
        <v>0</v>
      </c>
      <c r="Y92" s="43">
        <f t="shared" si="9"/>
        <v>0</v>
      </c>
      <c r="Z92" s="341">
        <f t="shared" si="9"/>
        <v>0</v>
      </c>
      <c r="AA92" s="43">
        <f t="shared" si="9"/>
        <v>0</v>
      </c>
      <c r="AB92" s="43">
        <f t="shared" si="9"/>
        <v>0</v>
      </c>
      <c r="AC92" s="43">
        <f t="shared" si="9"/>
        <v>0</v>
      </c>
      <c r="AD92" s="301"/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45"/>
      <c r="L93" s="45">
        <f aca="true" t="shared" si="10" ref="L93:AC93">L94</f>
        <v>0</v>
      </c>
      <c r="M93" s="45">
        <f t="shared" si="10"/>
        <v>0</v>
      </c>
      <c r="N93" s="340">
        <f t="shared" si="10"/>
        <v>0</v>
      </c>
      <c r="O93" s="45">
        <f t="shared" si="10"/>
        <v>0</v>
      </c>
      <c r="P93" s="45">
        <f t="shared" si="10"/>
        <v>0</v>
      </c>
      <c r="Q93" s="45">
        <f t="shared" si="10"/>
        <v>0</v>
      </c>
      <c r="R93" s="340">
        <f t="shared" si="10"/>
        <v>0</v>
      </c>
      <c r="S93" s="45">
        <f t="shared" si="10"/>
        <v>0</v>
      </c>
      <c r="T93" s="45">
        <f t="shared" si="10"/>
        <v>0</v>
      </c>
      <c r="U93" s="45">
        <f t="shared" si="10"/>
        <v>0</v>
      </c>
      <c r="V93" s="340">
        <f t="shared" si="10"/>
        <v>0</v>
      </c>
      <c r="W93" s="45">
        <f t="shared" si="10"/>
        <v>0</v>
      </c>
      <c r="X93" s="45">
        <f t="shared" si="10"/>
        <v>0</v>
      </c>
      <c r="Y93" s="45">
        <f t="shared" si="10"/>
        <v>0</v>
      </c>
      <c r="Z93" s="340">
        <f t="shared" si="10"/>
        <v>0</v>
      </c>
      <c r="AA93" s="45">
        <f t="shared" si="10"/>
        <v>0</v>
      </c>
      <c r="AB93" s="45">
        <f t="shared" si="10"/>
        <v>0</v>
      </c>
      <c r="AC93" s="45">
        <f t="shared" si="10"/>
        <v>0</v>
      </c>
      <c r="AD93" s="301"/>
    </row>
    <row r="94" spans="1:30" ht="25.5" customHeigh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47"/>
      <c r="N94" s="338"/>
      <c r="O94" s="184"/>
      <c r="P94" s="184"/>
      <c r="Q94" s="184"/>
      <c r="R94" s="338"/>
      <c r="S94" s="184"/>
      <c r="T94" s="184"/>
      <c r="U94" s="184"/>
      <c r="V94" s="338"/>
      <c r="W94" s="184"/>
      <c r="X94" s="184"/>
      <c r="Y94" s="184"/>
      <c r="Z94" s="338"/>
      <c r="AA94" s="184"/>
      <c r="AB94" s="184"/>
      <c r="AC94" s="184"/>
      <c r="AD94" s="301"/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67">
        <f>K96</f>
        <v>0</v>
      </c>
      <c r="L95" s="67">
        <f aca="true" t="shared" si="11" ref="L95:AC95">L96</f>
        <v>0</v>
      </c>
      <c r="M95" s="67">
        <f t="shared" si="11"/>
        <v>0</v>
      </c>
      <c r="N95" s="351">
        <f t="shared" si="11"/>
        <v>0</v>
      </c>
      <c r="O95" s="67">
        <f t="shared" si="11"/>
        <v>0</v>
      </c>
      <c r="P95" s="67">
        <f t="shared" si="11"/>
        <v>0</v>
      </c>
      <c r="Q95" s="67">
        <f t="shared" si="11"/>
        <v>0</v>
      </c>
      <c r="R95" s="351">
        <f t="shared" si="11"/>
        <v>0</v>
      </c>
      <c r="S95" s="67">
        <f t="shared" si="11"/>
        <v>0</v>
      </c>
      <c r="T95" s="67">
        <f t="shared" si="11"/>
        <v>0</v>
      </c>
      <c r="U95" s="67">
        <f t="shared" si="11"/>
        <v>0</v>
      </c>
      <c r="V95" s="351">
        <f t="shared" si="11"/>
        <v>0</v>
      </c>
      <c r="W95" s="67">
        <f t="shared" si="11"/>
        <v>0</v>
      </c>
      <c r="X95" s="67">
        <f t="shared" si="11"/>
        <v>0</v>
      </c>
      <c r="Y95" s="67">
        <f t="shared" si="11"/>
        <v>0</v>
      </c>
      <c r="Z95" s="351">
        <f t="shared" si="11"/>
        <v>0</v>
      </c>
      <c r="AA95" s="67">
        <f t="shared" si="11"/>
        <v>0</v>
      </c>
      <c r="AB95" s="67">
        <f t="shared" si="11"/>
        <v>0</v>
      </c>
      <c r="AC95" s="67">
        <f t="shared" si="11"/>
        <v>0</v>
      </c>
      <c r="AD95" s="301"/>
    </row>
    <row r="96" spans="1:30" s="119" customFormat="1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40"/>
      <c r="N96" s="346"/>
      <c r="O96" s="186"/>
      <c r="P96" s="186"/>
      <c r="Q96" s="186"/>
      <c r="R96" s="346"/>
      <c r="S96" s="186"/>
      <c r="T96" s="186"/>
      <c r="U96" s="186"/>
      <c r="V96" s="346"/>
      <c r="W96" s="186"/>
      <c r="X96" s="186"/>
      <c r="Y96" s="186"/>
      <c r="Z96" s="346"/>
      <c r="AA96" s="186"/>
      <c r="AB96" s="186"/>
      <c r="AC96" s="186"/>
      <c r="AD96" s="301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10493.400000000001</v>
      </c>
      <c r="L97" s="51">
        <f>L23+L66+L92</f>
        <v>0</v>
      </c>
      <c r="M97" s="51">
        <f>M23+M66+M92</f>
        <v>0</v>
      </c>
      <c r="N97" s="342">
        <f>N23+N66+N92</f>
        <v>17.5</v>
      </c>
      <c r="O97" s="51">
        <f aca="true" t="shared" si="12" ref="O97:AC97">O23+O66+O92</f>
        <v>0</v>
      </c>
      <c r="P97" s="51">
        <f t="shared" si="12"/>
        <v>0</v>
      </c>
      <c r="Q97" s="51">
        <f t="shared" si="12"/>
        <v>0</v>
      </c>
      <c r="R97" s="342">
        <f t="shared" si="12"/>
        <v>0</v>
      </c>
      <c r="S97" s="51">
        <f t="shared" si="12"/>
        <v>0</v>
      </c>
      <c r="T97" s="51">
        <f t="shared" si="12"/>
        <v>0</v>
      </c>
      <c r="U97" s="51">
        <f t="shared" si="12"/>
        <v>0</v>
      </c>
      <c r="V97" s="342">
        <f t="shared" si="12"/>
        <v>0</v>
      </c>
      <c r="W97" s="51">
        <f t="shared" si="12"/>
        <v>0</v>
      </c>
      <c r="X97" s="51">
        <f t="shared" si="12"/>
        <v>0</v>
      </c>
      <c r="Y97" s="51">
        <f t="shared" si="12"/>
        <v>0</v>
      </c>
      <c r="Z97" s="342">
        <f t="shared" si="12"/>
        <v>0</v>
      </c>
      <c r="AA97" s="51">
        <f t="shared" si="12"/>
        <v>0</v>
      </c>
      <c r="AB97" s="51">
        <f t="shared" si="12"/>
        <v>0</v>
      </c>
      <c r="AC97" s="51">
        <f t="shared" si="12"/>
        <v>0</v>
      </c>
      <c r="AD97" s="301"/>
    </row>
    <row r="98" ht="12.75">
      <c r="Z98" s="334">
        <f>SUM(AA97:AC97)</f>
        <v>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14">
      <pane xSplit="9120" topLeftCell="AA1" activePane="topRight" state="split"/>
      <selection pane="topLeft" activeCell="A84" sqref="A8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171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L16" s="175"/>
      <c r="M16" s="176"/>
      <c r="N16" s="176"/>
      <c r="O16" s="211"/>
      <c r="P16" s="176"/>
      <c r="Q16" s="176"/>
      <c r="R16" s="176"/>
      <c r="S16" s="211"/>
      <c r="T16" s="176"/>
      <c r="U16" s="176"/>
      <c r="V16" s="176"/>
      <c r="W16" s="211"/>
      <c r="X16" s="177"/>
      <c r="Y16" s="176"/>
      <c r="Z16" s="176"/>
      <c r="AA16" s="211"/>
    </row>
    <row r="17" spans="1:27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L17" s="178"/>
      <c r="M17" s="179"/>
      <c r="N17" s="179"/>
      <c r="O17" s="212"/>
      <c r="P17" s="179"/>
      <c r="Q17" s="179"/>
      <c r="R17" s="179"/>
      <c r="S17" s="212"/>
      <c r="T17" s="179"/>
      <c r="U17" s="179"/>
      <c r="V17" s="179"/>
      <c r="W17" s="212"/>
      <c r="X17" s="180"/>
      <c r="Y17" s="179"/>
      <c r="Z17" s="179"/>
      <c r="AA17" s="212"/>
    </row>
    <row r="18" spans="1:27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L18" s="178" t="s">
        <v>181</v>
      </c>
      <c r="M18" s="179"/>
      <c r="N18" s="179"/>
      <c r="O18" s="212"/>
      <c r="P18" s="179"/>
      <c r="Q18" s="179"/>
      <c r="R18" s="179"/>
      <c r="S18" s="212"/>
      <c r="T18" s="179"/>
      <c r="U18" s="179"/>
      <c r="V18" s="179"/>
      <c r="W18" s="212"/>
      <c r="X18" s="180"/>
      <c r="Y18" s="179"/>
      <c r="Z18" s="179"/>
      <c r="AA18" s="212"/>
    </row>
    <row r="19" spans="1:27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L19" s="178"/>
      <c r="M19" s="179"/>
      <c r="N19" s="179"/>
      <c r="O19" s="212"/>
      <c r="P19" s="179"/>
      <c r="Q19" s="179"/>
      <c r="R19" s="179"/>
      <c r="S19" s="212"/>
      <c r="T19" s="179"/>
      <c r="U19" s="179"/>
      <c r="V19" s="179"/>
      <c r="W19" s="212"/>
      <c r="X19" s="180"/>
      <c r="Y19" s="179"/>
      <c r="Z19" s="179"/>
      <c r="AA19" s="212"/>
    </row>
    <row r="20" spans="1:27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L20" s="181"/>
      <c r="M20" s="182"/>
      <c r="N20" s="182"/>
      <c r="O20" s="213"/>
      <c r="P20" s="182"/>
      <c r="Q20" s="182"/>
      <c r="R20" s="182"/>
      <c r="S20" s="213"/>
      <c r="T20" s="182"/>
      <c r="U20" s="182"/>
      <c r="V20" s="182"/>
      <c r="W20" s="213"/>
      <c r="X20" s="183"/>
      <c r="Y20" s="182"/>
      <c r="Z20" s="182"/>
      <c r="AA20" s="213"/>
    </row>
    <row r="21" spans="1:27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L21" s="184">
        <v>5</v>
      </c>
      <c r="M21" s="184"/>
      <c r="N21" s="184"/>
      <c r="O21" s="214"/>
      <c r="P21" s="184"/>
      <c r="Q21" s="184"/>
      <c r="R21" s="184"/>
      <c r="S21" s="214"/>
      <c r="T21" s="184">
        <v>7</v>
      </c>
      <c r="U21" s="184"/>
      <c r="V21" s="184"/>
      <c r="W21" s="214"/>
      <c r="X21" s="184">
        <v>8</v>
      </c>
      <c r="Y21" s="184"/>
      <c r="Z21" s="184"/>
      <c r="AA21" s="21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88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188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18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18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300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188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188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188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300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188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188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188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300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188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188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188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300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188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188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188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189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188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18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18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300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188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188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188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300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188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188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188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300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188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188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188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300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188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188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188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189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188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18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18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300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188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188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188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300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188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188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188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300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188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188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188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300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188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188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188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190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188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18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18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300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188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188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188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300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188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188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188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300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188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188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188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300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188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188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188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190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188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18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18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300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188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188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188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300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188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188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188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300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188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188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188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300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188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188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188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190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188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18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18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300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188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188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188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300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188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188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188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300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188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188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188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300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188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188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188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190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188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18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18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300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188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188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188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300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188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188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188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300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188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188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188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300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188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188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188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190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188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18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18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300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188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188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188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300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188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188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188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300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188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188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188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300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188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188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188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191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188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18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18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300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188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188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188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300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188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188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188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300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188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188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188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300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188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188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188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190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188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18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18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300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188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188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188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300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188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188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188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300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188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188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188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300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188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188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188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192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188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18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18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300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188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188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188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300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188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188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188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300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188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188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188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300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188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188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188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3.5" thickBot="1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191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188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18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18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300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188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188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188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300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188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188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188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300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188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188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188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300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188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188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188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3.5" thickBot="1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190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188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18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18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300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188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188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188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300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188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188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188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300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188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188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188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300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188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188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188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3.5" hidden="1" thickBo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190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188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18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18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300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188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188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188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300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188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188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188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300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188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188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188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300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188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188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188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190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188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18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18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300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188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188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188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300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188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188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188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300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188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188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188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300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188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188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188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>
        <f>AA37+W37+S37+O37</f>
        <v>154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193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188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18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18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300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188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188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188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300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188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188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188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300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188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188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188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300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188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188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188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194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188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18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18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300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188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188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188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300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188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188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188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300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188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188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188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300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188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188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188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195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188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18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18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300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188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188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188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300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188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188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188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300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188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188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188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300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188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188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188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96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188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18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18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300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188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188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188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300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188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188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188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300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188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188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188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300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188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188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188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197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188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18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18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300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188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188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188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300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188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188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188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300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188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188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188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300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188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188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188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9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188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18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18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300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188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188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188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300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188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188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188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300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188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188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188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300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188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188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188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188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18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18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300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188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188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188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300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188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188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188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300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188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188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188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300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188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188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188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190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188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18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18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300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188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188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188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300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188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188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188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300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188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188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188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300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188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188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188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198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188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18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18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300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188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188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188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300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188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188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188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300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188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188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188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300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188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188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188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6.25" thickBot="1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91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188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18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18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300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188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188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188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300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188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188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188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300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188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188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188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300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188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188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188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3.5" hidden="1" thickBot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189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188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18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18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300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188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188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188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300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188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188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188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300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188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188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188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300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188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188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188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3.5" thickBo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99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188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18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18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300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188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188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188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300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188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188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188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300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188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188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188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300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188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188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188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4.75" thickBo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200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188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18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18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300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188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188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188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300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188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188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188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300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188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188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188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300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188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188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188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3.5" hidden="1" thickBot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190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188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18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18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300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188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188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188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300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188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188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188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300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188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188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188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300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188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188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188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3.5" hidden="1" thickBot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190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188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18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18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300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188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188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188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300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188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188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188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300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188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188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188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300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188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188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188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4.75" thickBot="1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99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188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18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18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300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188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188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188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300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188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188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188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300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188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188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188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300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188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188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188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201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188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18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18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300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188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188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188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300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188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188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188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300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188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188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188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300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188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188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188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191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188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18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18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300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188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188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188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300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188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188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188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300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188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188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188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300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188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188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188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90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188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18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18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300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188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188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188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300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188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188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188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300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188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188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188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300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188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188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188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90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188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18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18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300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188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188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188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300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188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188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188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300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188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188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188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300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188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188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188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190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188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18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18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300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188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188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188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300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188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188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188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300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188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188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188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300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188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188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188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90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188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18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18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300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188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188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188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300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188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188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188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300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188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188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188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300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188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188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188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192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188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18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18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300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188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188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188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300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188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188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188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300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188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188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188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300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188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188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188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202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188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18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18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300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188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188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188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300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188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188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188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300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188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188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188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300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188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188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188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202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188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18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18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300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188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188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188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300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188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188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188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300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188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188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188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300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188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188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188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195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188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18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18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300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188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188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188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300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188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188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188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300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188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188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188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300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188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188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188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93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188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18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18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300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188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188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188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300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188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188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188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300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188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188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188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300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188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188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188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202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188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18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18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300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188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188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188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300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188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188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188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300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188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188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188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300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188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188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188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3.5" thickBot="1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91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188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18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18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300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188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188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188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300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188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188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188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300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188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188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188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300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188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188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188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3.5" hidden="1" thickBot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189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188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18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18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300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188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188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188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300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188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188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188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300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188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188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188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300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188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188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188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3.5" thickBot="1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189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188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18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18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300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188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188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188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300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188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188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188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300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188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188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188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300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188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188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188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3.5" thickBot="1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200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188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18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18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300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188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188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188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300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188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188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188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300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188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188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188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300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188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188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188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4.75" thickBot="1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89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188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18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18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300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188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188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188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300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188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188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188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300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188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188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188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300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188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188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188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4.75" thickBot="1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89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188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18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18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300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188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188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188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300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188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188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188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300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188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188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188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300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188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188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188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3.5" thickBot="1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189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188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18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18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300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188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188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188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300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188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188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188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300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188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188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188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300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188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188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188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6.75" thickBo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190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188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18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18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300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188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188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188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300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188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188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188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300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188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188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188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300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188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188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188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4.75" thickBot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190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188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18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18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300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188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188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188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300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188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188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188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300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188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188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188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300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188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188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188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4.75" thickBo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190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188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18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18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300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188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188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188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300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188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188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188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300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188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188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188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300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188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188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188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4.75" thickBot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190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188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18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18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300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188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188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188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300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188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188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188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300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188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188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188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300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188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188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188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6.75" thickBot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190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188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18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18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300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188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188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188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300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188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188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188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300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188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188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188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300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188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188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188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8.75" thickBot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190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188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18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18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300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188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188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188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300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188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188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188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300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188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188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188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300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188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188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188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6.75" thickBot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190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188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18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18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300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188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188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188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300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188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188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188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300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188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188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188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300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188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188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188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6.75" thickBot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190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188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18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18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300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188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188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188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300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188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188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188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300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188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188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188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300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188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188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188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4.75" thickBot="1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190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188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18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18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300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188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188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188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300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188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188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188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300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188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188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188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300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188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188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188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3.5" thickBot="1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190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188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18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18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300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188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188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188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300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188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188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188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300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188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188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188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300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188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188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188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3.5" thickBot="1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189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188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18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18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300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188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188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188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300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188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188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188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300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188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188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188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300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188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188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188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3.5" thickBot="1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189"/>
      <c r="L84" s="188"/>
      <c r="M84" s="188"/>
      <c r="N84" s="188"/>
      <c r="O84" s="300"/>
      <c r="P84" s="188"/>
      <c r="Q84" s="188"/>
      <c r="R84" s="188"/>
      <c r="S84" s="300"/>
      <c r="T84" s="188"/>
      <c r="U84" s="188"/>
      <c r="V84" s="188"/>
      <c r="W84" s="300"/>
      <c r="X84" s="188"/>
      <c r="Y84" s="188"/>
      <c r="Z84" s="188"/>
      <c r="AA84" s="300"/>
      <c r="AB84" s="188"/>
      <c r="AC84" s="188"/>
      <c r="AD84" s="188"/>
    </row>
    <row r="85" spans="1:30" ht="13.5" thickBot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190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188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18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18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300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188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188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188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300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188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188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188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300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188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188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188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300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188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188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188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3.5" thickBot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190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188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18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18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300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188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188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188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300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188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188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188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300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188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188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188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300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188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188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188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3.5" thickBot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190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188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18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18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300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188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188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188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300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188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188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188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300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188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188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188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300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188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188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188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3.5" thickBot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190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188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18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18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300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188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188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188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300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188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188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188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300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188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188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188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300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188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188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188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3.5" thickBot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203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188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18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18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300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188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188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188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300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188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188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188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300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188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188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188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300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188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188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188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8.75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204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188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18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18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300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188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188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188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300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188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188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188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300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188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188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188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300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188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188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188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33.75" customHeight="1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205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188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18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18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300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188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188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188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300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188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188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188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300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188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188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188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300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188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188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188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6.25" thickBot="1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191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188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18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18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300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188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188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188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300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188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188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188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300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188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188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188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300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188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188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188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>
        <f aca="true" t="shared" si="0" ref="AE92:AE97">AA92+W92+S92+O92</f>
        <v>481.2</v>
      </c>
    </row>
    <row r="93" spans="1:31" ht="13.5" thickBot="1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206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188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18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18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300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188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188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188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300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188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188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188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300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188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188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188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300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188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188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188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>
        <f t="shared" si="0"/>
        <v>378</v>
      </c>
    </row>
    <row r="94" spans="1:31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200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188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18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18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300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188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188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188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300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188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188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188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300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188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188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188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300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188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188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188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>
        <f t="shared" si="0"/>
        <v>378</v>
      </c>
    </row>
    <row r="95" spans="1:31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206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188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18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18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300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188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188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188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300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188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188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188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300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188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188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188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300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188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188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188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>
        <f t="shared" si="0"/>
        <v>103.2</v>
      </c>
    </row>
    <row r="96" spans="1:31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201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188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18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18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300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188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188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188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300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188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188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188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300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188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188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188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300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188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188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188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>
        <f t="shared" si="0"/>
        <v>103</v>
      </c>
    </row>
    <row r="97" spans="1:31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193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188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18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18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300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188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188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188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300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188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188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188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300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188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188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188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300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188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188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188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>
        <f t="shared" si="0"/>
        <v>12538.7</v>
      </c>
    </row>
    <row r="98" spans="12:27" ht="12.75">
      <c r="L98">
        <f>SUM(M97:O97)</f>
        <v>5016</v>
      </c>
      <c r="O98" s="210">
        <f>SUM(P97:R97)</f>
        <v>3059</v>
      </c>
      <c r="S98" s="210">
        <f>SUM(T97:V97)</f>
        <v>3106</v>
      </c>
      <c r="W98" s="210">
        <f>SUM(X97:Z97)</f>
        <v>3182.7</v>
      </c>
      <c r="AA98" s="210">
        <f>SUM(AB97:AD97)</f>
        <v>3222.7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2">
      <selection activeCell="G7" sqref="G7"/>
    </sheetView>
  </sheetViews>
  <sheetFormatPr defaultColWidth="9.00390625" defaultRowHeight="12.75"/>
  <cols>
    <col min="1" max="1" width="0.12890625" style="0" customWidth="1"/>
    <col min="2" max="2" width="61.75390625" style="358" customWidth="1"/>
    <col min="3" max="3" width="3.875" style="0" customWidth="1"/>
    <col min="4" max="4" width="2.75390625" style="0" customWidth="1"/>
    <col min="5" max="5" width="3.125" style="0" customWidth="1"/>
    <col min="6" max="6" width="3.25390625" style="0" customWidth="1"/>
    <col min="7" max="7" width="4.00390625" style="0" customWidth="1"/>
    <col min="8" max="8" width="4.125" style="0" customWidth="1"/>
    <col min="9" max="9" width="4.875" style="0" customWidth="1"/>
    <col min="10" max="10" width="4.625" style="0" customWidth="1"/>
    <col min="11" max="11" width="13.00390625" style="377" customWidth="1"/>
    <col min="12" max="12" width="14.125" style="0" hidden="1" customWidth="1"/>
    <col min="13" max="13" width="12.00390625" style="0" hidden="1" customWidth="1"/>
  </cols>
  <sheetData>
    <row r="1" spans="1:10" ht="12" customHeight="1" hidden="1">
      <c r="A1" s="1"/>
      <c r="B1" s="36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1"/>
      <c r="B2" s="362"/>
      <c r="C2" s="2"/>
      <c r="D2" s="2"/>
      <c r="E2" s="2"/>
      <c r="F2" s="2"/>
      <c r="G2" s="2"/>
      <c r="H2" s="2"/>
      <c r="I2" s="2"/>
      <c r="J2" s="2"/>
    </row>
    <row r="3" spans="1:11" ht="16.5" customHeight="1">
      <c r="A3" s="1"/>
      <c r="B3" s="362"/>
      <c r="C3" s="2"/>
      <c r="D3" s="2"/>
      <c r="E3" s="2"/>
      <c r="F3" s="2"/>
      <c r="G3" s="448" t="s">
        <v>269</v>
      </c>
      <c r="H3" s="449"/>
      <c r="I3" s="449"/>
      <c r="J3" s="449"/>
      <c r="K3" s="449"/>
    </row>
    <row r="4" spans="1:11" ht="48" customHeight="1">
      <c r="A4" s="1"/>
      <c r="B4" s="362"/>
      <c r="C4" s="2"/>
      <c r="D4" s="2"/>
      <c r="E4" s="2"/>
      <c r="F4" s="2"/>
      <c r="G4" s="450" t="s">
        <v>402</v>
      </c>
      <c r="H4" s="449"/>
      <c r="I4" s="449"/>
      <c r="J4" s="449"/>
      <c r="K4" s="449"/>
    </row>
    <row r="5" spans="1:11" ht="13.5" customHeight="1">
      <c r="A5" s="1"/>
      <c r="B5" s="362"/>
      <c r="C5" s="2"/>
      <c r="D5" s="2"/>
      <c r="E5" s="2"/>
      <c r="F5" s="2"/>
      <c r="G5" s="449"/>
      <c r="H5" s="449"/>
      <c r="I5" s="449"/>
      <c r="J5" s="449"/>
      <c r="K5" s="449"/>
    </row>
    <row r="6" spans="1:11" ht="16.5" customHeight="1">
      <c r="A6" s="1"/>
      <c r="B6" s="362"/>
      <c r="C6" s="2"/>
      <c r="D6" s="2"/>
      <c r="E6" s="2"/>
      <c r="F6" s="2"/>
      <c r="G6" s="449"/>
      <c r="H6" s="449"/>
      <c r="I6" s="449"/>
      <c r="J6" s="449"/>
      <c r="K6" s="449"/>
    </row>
    <row r="7" spans="1:11" ht="14.25" customHeight="1">
      <c r="A7" s="1"/>
      <c r="B7" s="362"/>
      <c r="C7" s="2"/>
      <c r="D7" s="2"/>
      <c r="E7" s="2"/>
      <c r="F7" s="2"/>
      <c r="G7" s="2"/>
      <c r="H7" s="146"/>
      <c r="I7" s="146"/>
      <c r="J7" s="146"/>
      <c r="K7" s="378"/>
    </row>
    <row r="8" spans="1:11" ht="13.5" customHeight="1">
      <c r="A8" s="1"/>
      <c r="B8" s="362"/>
      <c r="C8" s="2"/>
      <c r="D8" s="2"/>
      <c r="E8" s="2"/>
      <c r="F8" s="2"/>
      <c r="G8" s="2"/>
      <c r="H8" s="146"/>
      <c r="I8" s="146"/>
      <c r="J8" s="146"/>
      <c r="K8" s="378"/>
    </row>
    <row r="9" spans="1:11" ht="12" customHeight="1">
      <c r="A9" s="1"/>
      <c r="B9" s="362"/>
      <c r="C9" s="2"/>
      <c r="D9" s="2"/>
      <c r="E9" s="2"/>
      <c r="F9" s="2"/>
      <c r="G9" s="2"/>
      <c r="H9" s="146"/>
      <c r="I9" s="146"/>
      <c r="J9" s="146"/>
      <c r="K9" s="378"/>
    </row>
    <row r="10" spans="1:11" ht="20.25" customHeight="1">
      <c r="A10" s="1"/>
      <c r="B10" s="362"/>
      <c r="C10" s="2"/>
      <c r="D10" s="2"/>
      <c r="E10" s="2"/>
      <c r="F10" s="2"/>
      <c r="G10" s="2"/>
      <c r="H10" s="146"/>
      <c r="I10" s="146"/>
      <c r="J10" s="146"/>
      <c r="K10" s="378"/>
    </row>
    <row r="11" spans="1:11" ht="12.75">
      <c r="A11" s="430" t="s">
        <v>329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401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3.5" thickBot="1">
      <c r="A13" s="1"/>
      <c r="B13" s="36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hidden="1" thickBot="1">
      <c r="A14" s="1"/>
      <c r="B14" s="362"/>
      <c r="C14" s="1"/>
      <c r="D14" s="1"/>
      <c r="E14" s="1"/>
      <c r="F14" s="1"/>
      <c r="G14" s="1"/>
      <c r="H14" s="1"/>
      <c r="I14" s="1"/>
      <c r="J14" s="1"/>
      <c r="K14" s="379"/>
    </row>
    <row r="15" spans="1:11" ht="12.75">
      <c r="A15" s="4"/>
      <c r="B15" s="364"/>
      <c r="C15" s="439" t="s">
        <v>0</v>
      </c>
      <c r="D15" s="440"/>
      <c r="E15" s="440"/>
      <c r="F15" s="440"/>
      <c r="G15" s="440"/>
      <c r="H15" s="440"/>
      <c r="I15" s="440"/>
      <c r="J15" s="441"/>
      <c r="K15" s="376"/>
    </row>
    <row r="16" spans="1:11" ht="12.75">
      <c r="A16" s="7"/>
      <c r="B16" s="365"/>
      <c r="C16" s="442"/>
      <c r="D16" s="443"/>
      <c r="E16" s="443"/>
      <c r="F16" s="443"/>
      <c r="G16" s="443"/>
      <c r="H16" s="443"/>
      <c r="I16" s="443"/>
      <c r="J16" s="444"/>
      <c r="K16" s="9"/>
    </row>
    <row r="17" spans="1:11" ht="12.75">
      <c r="A17" s="7"/>
      <c r="B17" s="365" t="s">
        <v>1</v>
      </c>
      <c r="C17" s="442"/>
      <c r="D17" s="443"/>
      <c r="E17" s="443"/>
      <c r="F17" s="443"/>
      <c r="G17" s="443"/>
      <c r="H17" s="443"/>
      <c r="I17" s="443"/>
      <c r="J17" s="444"/>
      <c r="K17" s="9" t="s">
        <v>346</v>
      </c>
    </row>
    <row r="18" spans="1:11" ht="12.75">
      <c r="A18" s="7"/>
      <c r="B18" s="365"/>
      <c r="C18" s="442"/>
      <c r="D18" s="443"/>
      <c r="E18" s="443"/>
      <c r="F18" s="443"/>
      <c r="G18" s="443"/>
      <c r="H18" s="443"/>
      <c r="I18" s="443"/>
      <c r="J18" s="444"/>
      <c r="K18" s="9" t="s">
        <v>315</v>
      </c>
    </row>
    <row r="19" spans="1:11" ht="13.5" thickBot="1">
      <c r="A19" s="7"/>
      <c r="B19" s="366"/>
      <c r="C19" s="445"/>
      <c r="D19" s="446"/>
      <c r="E19" s="446"/>
      <c r="F19" s="446"/>
      <c r="G19" s="446"/>
      <c r="H19" s="446"/>
      <c r="I19" s="446"/>
      <c r="J19" s="447"/>
      <c r="K19" s="9"/>
    </row>
    <row r="20" spans="1:11" ht="12.75">
      <c r="A20" s="12">
        <v>1</v>
      </c>
      <c r="B20" s="364">
        <v>2</v>
      </c>
      <c r="C20" s="431"/>
      <c r="D20" s="431"/>
      <c r="E20" s="431"/>
      <c r="F20" s="431"/>
      <c r="G20" s="431"/>
      <c r="H20" s="431"/>
      <c r="I20" s="431"/>
      <c r="J20" s="432"/>
      <c r="K20" s="13">
        <v>4</v>
      </c>
    </row>
    <row r="21" spans="1:11" ht="1.5" customHeight="1">
      <c r="A21" s="317"/>
      <c r="B21" s="318"/>
      <c r="C21" s="318" t="s">
        <v>4</v>
      </c>
      <c r="D21" s="318" t="s">
        <v>5</v>
      </c>
      <c r="E21" s="318" t="s">
        <v>6</v>
      </c>
      <c r="F21" s="318" t="s">
        <v>7</v>
      </c>
      <c r="G21" s="318" t="s">
        <v>8</v>
      </c>
      <c r="H21" s="318" t="s">
        <v>9</v>
      </c>
      <c r="I21" s="318" t="s">
        <v>10</v>
      </c>
      <c r="J21" s="318" t="s">
        <v>11</v>
      </c>
      <c r="K21" s="319"/>
    </row>
    <row r="22" spans="1:12" ht="12.75">
      <c r="A22" s="320" t="s">
        <v>12</v>
      </c>
      <c r="B22" s="367" t="s">
        <v>13</v>
      </c>
      <c r="C22" s="44" t="s">
        <v>14</v>
      </c>
      <c r="D22" s="44">
        <v>1</v>
      </c>
      <c r="E22" s="44" t="s">
        <v>15</v>
      </c>
      <c r="F22" s="44" t="s">
        <v>15</v>
      </c>
      <c r="G22" s="44" t="s">
        <v>14</v>
      </c>
      <c r="H22" s="44" t="s">
        <v>15</v>
      </c>
      <c r="I22" s="44" t="s">
        <v>16</v>
      </c>
      <c r="J22" s="44" t="s">
        <v>14</v>
      </c>
      <c r="K22" s="233">
        <f>K23+K30+K37+K42+K50+K52+K53+K55+K58+K66</f>
        <v>103608</v>
      </c>
      <c r="L22">
        <v>111405000</v>
      </c>
    </row>
    <row r="23" spans="1:11" ht="12.75">
      <c r="A23" s="320" t="s">
        <v>17</v>
      </c>
      <c r="B23" s="105" t="s">
        <v>18</v>
      </c>
      <c r="C23" s="44" t="s">
        <v>14</v>
      </c>
      <c r="D23" s="44" t="s">
        <v>19</v>
      </c>
      <c r="E23" s="44" t="s">
        <v>20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49">
        <f>K24</f>
        <v>46495</v>
      </c>
    </row>
    <row r="24" spans="1:11" ht="12.75" customHeight="1">
      <c r="A24" s="320" t="s">
        <v>21</v>
      </c>
      <c r="B24" s="105" t="s">
        <v>22</v>
      </c>
      <c r="C24" s="44" t="s">
        <v>26</v>
      </c>
      <c r="D24" s="44" t="s">
        <v>19</v>
      </c>
      <c r="E24" s="44" t="s">
        <v>20</v>
      </c>
      <c r="F24" s="44" t="s">
        <v>23</v>
      </c>
      <c r="G24" s="44" t="s">
        <v>14</v>
      </c>
      <c r="H24" s="44" t="s">
        <v>20</v>
      </c>
      <c r="I24" s="44" t="s">
        <v>16</v>
      </c>
      <c r="J24" s="44" t="s">
        <v>24</v>
      </c>
      <c r="K24" s="249">
        <f>K26</f>
        <v>46495</v>
      </c>
    </row>
    <row r="25" spans="1:11" ht="0.75" customHeight="1">
      <c r="A25" s="320"/>
      <c r="B25" s="74" t="s">
        <v>25</v>
      </c>
      <c r="C25" s="46" t="s">
        <v>26</v>
      </c>
      <c r="D25" s="46" t="s">
        <v>19</v>
      </c>
      <c r="E25" s="46" t="s">
        <v>20</v>
      </c>
      <c r="F25" s="46" t="s">
        <v>23</v>
      </c>
      <c r="G25" s="46" t="s">
        <v>27</v>
      </c>
      <c r="H25" s="46" t="s">
        <v>20</v>
      </c>
      <c r="I25" s="46" t="s">
        <v>16</v>
      </c>
      <c r="J25" s="46" t="s">
        <v>24</v>
      </c>
      <c r="K25" s="64"/>
    </row>
    <row r="26" spans="1:11" ht="39" customHeight="1">
      <c r="A26" s="77"/>
      <c r="B26" s="74" t="s">
        <v>28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29</v>
      </c>
      <c r="H26" s="46" t="s">
        <v>20</v>
      </c>
      <c r="I26" s="46" t="s">
        <v>16</v>
      </c>
      <c r="J26" s="46" t="s">
        <v>24</v>
      </c>
      <c r="K26" s="64">
        <f>K27+K28</f>
        <v>46495</v>
      </c>
    </row>
    <row r="27" spans="1:11" ht="71.25" customHeight="1">
      <c r="A27" s="77"/>
      <c r="B27" s="74" t="s">
        <v>30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31</v>
      </c>
      <c r="H27" s="46" t="s">
        <v>20</v>
      </c>
      <c r="I27" s="46" t="s">
        <v>16</v>
      </c>
      <c r="J27" s="46" t="s">
        <v>24</v>
      </c>
      <c r="K27" s="64">
        <v>46295</v>
      </c>
    </row>
    <row r="28" spans="1:11" ht="62.25" customHeight="1">
      <c r="A28" s="77"/>
      <c r="B28" s="74" t="s">
        <v>32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33</v>
      </c>
      <c r="H28" s="46" t="s">
        <v>20</v>
      </c>
      <c r="I28" s="46" t="s">
        <v>16</v>
      </c>
      <c r="J28" s="46" t="s">
        <v>24</v>
      </c>
      <c r="K28" s="64">
        <v>200</v>
      </c>
    </row>
    <row r="29" spans="1:11" ht="0.75" customHeight="1">
      <c r="A29" s="77"/>
      <c r="B29" s="74" t="s">
        <v>34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35</v>
      </c>
      <c r="H29" s="46" t="s">
        <v>20</v>
      </c>
      <c r="I29" s="46" t="s">
        <v>16</v>
      </c>
      <c r="J29" s="46" t="s">
        <v>24</v>
      </c>
      <c r="K29" s="64"/>
    </row>
    <row r="30" spans="1:11" ht="12.75">
      <c r="A30" s="320" t="s">
        <v>36</v>
      </c>
      <c r="B30" s="368" t="s">
        <v>37</v>
      </c>
      <c r="C30" s="44" t="s">
        <v>14</v>
      </c>
      <c r="D30" s="44" t="s">
        <v>19</v>
      </c>
      <c r="E30" s="44" t="s">
        <v>38</v>
      </c>
      <c r="F30" s="44" t="s">
        <v>15</v>
      </c>
      <c r="G30" s="44" t="s">
        <v>14</v>
      </c>
      <c r="H30" s="44" t="s">
        <v>15</v>
      </c>
      <c r="I30" s="44" t="s">
        <v>16</v>
      </c>
      <c r="J30" s="44" t="s">
        <v>14</v>
      </c>
      <c r="K30" s="249">
        <f>K31+K32</f>
        <v>11061</v>
      </c>
    </row>
    <row r="31" spans="1:11" ht="12.75">
      <c r="A31" s="321" t="s">
        <v>39</v>
      </c>
      <c r="B31" s="93" t="s">
        <v>40</v>
      </c>
      <c r="C31" s="46" t="s">
        <v>26</v>
      </c>
      <c r="D31" s="46" t="s">
        <v>19</v>
      </c>
      <c r="E31" s="46" t="s">
        <v>38</v>
      </c>
      <c r="F31" s="46" t="s">
        <v>23</v>
      </c>
      <c r="G31" s="46" t="s">
        <v>14</v>
      </c>
      <c r="H31" s="46" t="s">
        <v>23</v>
      </c>
      <c r="I31" s="46" t="s">
        <v>16</v>
      </c>
      <c r="J31" s="46" t="s">
        <v>24</v>
      </c>
      <c r="K31" s="64">
        <v>10890</v>
      </c>
    </row>
    <row r="32" spans="1:11" ht="12.75">
      <c r="A32" s="321" t="s">
        <v>41</v>
      </c>
      <c r="B32" s="93" t="s">
        <v>256</v>
      </c>
      <c r="C32" s="46" t="s">
        <v>26</v>
      </c>
      <c r="D32" s="46" t="s">
        <v>19</v>
      </c>
      <c r="E32" s="46" t="s">
        <v>38</v>
      </c>
      <c r="F32" s="46" t="s">
        <v>42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171</v>
      </c>
    </row>
    <row r="33" spans="1:11" ht="0.75" customHeight="1">
      <c r="A33" s="322" t="s">
        <v>44</v>
      </c>
      <c r="B33" s="368" t="s">
        <v>45</v>
      </c>
      <c r="C33" s="44" t="s">
        <v>14</v>
      </c>
      <c r="D33" s="44" t="s">
        <v>19</v>
      </c>
      <c r="E33" s="44" t="s">
        <v>46</v>
      </c>
      <c r="F33" s="44" t="s">
        <v>15</v>
      </c>
      <c r="G33" s="44" t="s">
        <v>14</v>
      </c>
      <c r="H33" s="44" t="s">
        <v>15</v>
      </c>
      <c r="I33" s="44" t="s">
        <v>16</v>
      </c>
      <c r="J33" s="44" t="s">
        <v>14</v>
      </c>
      <c r="K33" s="249">
        <f>K34+K35+K36</f>
        <v>0</v>
      </c>
    </row>
    <row r="34" spans="1:11" ht="12" customHeight="1" hidden="1">
      <c r="A34" s="322"/>
      <c r="B34" s="93" t="s">
        <v>47</v>
      </c>
      <c r="C34" s="46" t="s">
        <v>26</v>
      </c>
      <c r="D34" s="46" t="s">
        <v>19</v>
      </c>
      <c r="E34" s="46" t="s">
        <v>46</v>
      </c>
      <c r="F34" s="46" t="s">
        <v>20</v>
      </c>
      <c r="G34" s="46" t="s">
        <v>85</v>
      </c>
      <c r="H34" s="46" t="s">
        <v>38</v>
      </c>
      <c r="I34" s="46" t="s">
        <v>16</v>
      </c>
      <c r="J34" s="46" t="s">
        <v>24</v>
      </c>
      <c r="K34" s="64">
        <v>0</v>
      </c>
    </row>
    <row r="35" spans="1:11" ht="12.75" hidden="1">
      <c r="A35" s="322"/>
      <c r="B35" s="93" t="s">
        <v>170</v>
      </c>
      <c r="C35" s="46" t="s">
        <v>26</v>
      </c>
      <c r="D35" s="46" t="s">
        <v>19</v>
      </c>
      <c r="E35" s="46" t="s">
        <v>46</v>
      </c>
      <c r="F35" s="46" t="s">
        <v>23</v>
      </c>
      <c r="G35" s="46" t="s">
        <v>14</v>
      </c>
      <c r="H35" s="46" t="s">
        <v>23</v>
      </c>
      <c r="I35" s="46" t="s">
        <v>16</v>
      </c>
      <c r="J35" s="46" t="s">
        <v>24</v>
      </c>
      <c r="K35" s="64">
        <v>0</v>
      </c>
    </row>
    <row r="36" spans="1:11" ht="12" customHeight="1" hidden="1">
      <c r="A36" s="322"/>
      <c r="B36" s="93" t="s">
        <v>49</v>
      </c>
      <c r="C36" s="46" t="s">
        <v>26</v>
      </c>
      <c r="D36" s="46" t="s">
        <v>19</v>
      </c>
      <c r="E36" s="46" t="s">
        <v>46</v>
      </c>
      <c r="F36" s="46" t="s">
        <v>46</v>
      </c>
      <c r="G36" s="46" t="s">
        <v>151</v>
      </c>
      <c r="H36" s="46" t="s">
        <v>38</v>
      </c>
      <c r="I36" s="46" t="s">
        <v>16</v>
      </c>
      <c r="J36" s="46" t="s">
        <v>24</v>
      </c>
      <c r="K36" s="64">
        <v>0</v>
      </c>
    </row>
    <row r="37" spans="1:11" ht="15.75" customHeight="1">
      <c r="A37" s="322" t="s">
        <v>44</v>
      </c>
      <c r="B37" s="368" t="s">
        <v>51</v>
      </c>
      <c r="C37" s="44" t="s">
        <v>14</v>
      </c>
      <c r="D37" s="44" t="s">
        <v>19</v>
      </c>
      <c r="E37" s="44" t="s">
        <v>52</v>
      </c>
      <c r="F37" s="44" t="s">
        <v>15</v>
      </c>
      <c r="G37" s="44" t="s">
        <v>14</v>
      </c>
      <c r="H37" s="44" t="s">
        <v>15</v>
      </c>
      <c r="I37" s="44" t="s">
        <v>16</v>
      </c>
      <c r="J37" s="44" t="s">
        <v>14</v>
      </c>
      <c r="K37" s="249">
        <f>K38+K39+K40+K41</f>
        <v>6204</v>
      </c>
    </row>
    <row r="38" spans="1:11" ht="36">
      <c r="A38" s="374" t="s">
        <v>306</v>
      </c>
      <c r="B38" s="93" t="s">
        <v>333</v>
      </c>
      <c r="C38" s="46" t="s">
        <v>26</v>
      </c>
      <c r="D38" s="46" t="s">
        <v>19</v>
      </c>
      <c r="E38" s="46" t="s">
        <v>52</v>
      </c>
      <c r="F38" s="46" t="s">
        <v>42</v>
      </c>
      <c r="G38" s="46" t="s">
        <v>27</v>
      </c>
      <c r="H38" s="46" t="s">
        <v>20</v>
      </c>
      <c r="I38" s="46" t="s">
        <v>16</v>
      </c>
      <c r="J38" s="46" t="s">
        <v>24</v>
      </c>
      <c r="K38" s="64">
        <f>700+200</f>
        <v>900</v>
      </c>
    </row>
    <row r="39" spans="1:11" ht="48">
      <c r="A39" s="374"/>
      <c r="B39" s="93" t="s">
        <v>381</v>
      </c>
      <c r="C39" s="46" t="s">
        <v>270</v>
      </c>
      <c r="D39" s="46" t="s">
        <v>19</v>
      </c>
      <c r="E39" s="46" t="s">
        <v>52</v>
      </c>
      <c r="F39" s="46" t="s">
        <v>55</v>
      </c>
      <c r="G39" s="46" t="s">
        <v>380</v>
      </c>
      <c r="H39" s="46" t="s">
        <v>20</v>
      </c>
      <c r="I39" s="46" t="s">
        <v>382</v>
      </c>
      <c r="J39" s="46" t="s">
        <v>24</v>
      </c>
      <c r="K39" s="64">
        <v>480</v>
      </c>
    </row>
    <row r="40" spans="1:11" ht="63" customHeight="1">
      <c r="A40" s="374" t="s">
        <v>314</v>
      </c>
      <c r="B40" s="93" t="s">
        <v>334</v>
      </c>
      <c r="C40" s="46" t="s">
        <v>14</v>
      </c>
      <c r="D40" s="46" t="s">
        <v>19</v>
      </c>
      <c r="E40" s="46" t="s">
        <v>52</v>
      </c>
      <c r="F40" s="46" t="s">
        <v>55</v>
      </c>
      <c r="G40" s="46" t="s">
        <v>272</v>
      </c>
      <c r="H40" s="46" t="s">
        <v>20</v>
      </c>
      <c r="I40" s="46" t="s">
        <v>16</v>
      </c>
      <c r="J40" s="46" t="s">
        <v>24</v>
      </c>
      <c r="K40" s="64">
        <v>4824</v>
      </c>
    </row>
    <row r="41" spans="1:11" ht="24" hidden="1">
      <c r="A41" s="374"/>
      <c r="B41" s="93" t="s">
        <v>316</v>
      </c>
      <c r="C41" s="46" t="s">
        <v>270</v>
      </c>
      <c r="D41" s="46" t="s">
        <v>19</v>
      </c>
      <c r="E41" s="46" t="s">
        <v>52</v>
      </c>
      <c r="F41" s="46" t="s">
        <v>55</v>
      </c>
      <c r="G41" s="46" t="s">
        <v>317</v>
      </c>
      <c r="H41" s="46" t="s">
        <v>20</v>
      </c>
      <c r="I41" s="46" t="s">
        <v>16</v>
      </c>
      <c r="J41" s="46" t="s">
        <v>24</v>
      </c>
      <c r="K41" s="64">
        <v>0</v>
      </c>
    </row>
    <row r="42" spans="1:11" ht="24.75" customHeight="1">
      <c r="A42" s="320" t="s">
        <v>50</v>
      </c>
      <c r="B42" s="323" t="s">
        <v>148</v>
      </c>
      <c r="C42" s="44" t="s">
        <v>14</v>
      </c>
      <c r="D42" s="44" t="s">
        <v>19</v>
      </c>
      <c r="E42" s="44" t="s">
        <v>63</v>
      </c>
      <c r="F42" s="44" t="s">
        <v>15</v>
      </c>
      <c r="G42" s="44" t="s">
        <v>14</v>
      </c>
      <c r="H42" s="44" t="s">
        <v>15</v>
      </c>
      <c r="I42" s="44" t="s">
        <v>16</v>
      </c>
      <c r="J42" s="44" t="s">
        <v>14</v>
      </c>
      <c r="K42" s="249">
        <f>K44+K47+K49</f>
        <v>7288</v>
      </c>
    </row>
    <row r="43" spans="1:11" ht="0.75" customHeight="1">
      <c r="A43" s="321"/>
      <c r="B43" s="323"/>
      <c r="C43" s="44"/>
      <c r="D43" s="44"/>
      <c r="E43" s="44"/>
      <c r="F43" s="44"/>
      <c r="G43" s="44"/>
      <c r="H43" s="44"/>
      <c r="I43" s="44"/>
      <c r="J43" s="44"/>
      <c r="K43" s="249"/>
    </row>
    <row r="44" spans="1:11" ht="40.5" customHeight="1">
      <c r="A44" s="324" t="s">
        <v>285</v>
      </c>
      <c r="B44" s="122" t="s">
        <v>326</v>
      </c>
      <c r="C44" s="115" t="s">
        <v>14</v>
      </c>
      <c r="D44" s="115">
        <v>1</v>
      </c>
      <c r="E44" s="115">
        <v>11</v>
      </c>
      <c r="F44" s="115" t="s">
        <v>38</v>
      </c>
      <c r="G44" s="115" t="s">
        <v>14</v>
      </c>
      <c r="H44" s="115" t="s">
        <v>15</v>
      </c>
      <c r="I44" s="115" t="s">
        <v>16</v>
      </c>
      <c r="J44" s="115" t="s">
        <v>65</v>
      </c>
      <c r="K44" s="250">
        <f>K45+K46</f>
        <v>2536</v>
      </c>
    </row>
    <row r="45" spans="1:11" ht="21" customHeight="1" hidden="1">
      <c r="A45" s="325"/>
      <c r="B45" s="370"/>
      <c r="C45" s="371" t="s">
        <v>270</v>
      </c>
      <c r="D45" s="371" t="s">
        <v>19</v>
      </c>
      <c r="E45" s="371" t="s">
        <v>63</v>
      </c>
      <c r="F45" s="371" t="s">
        <v>20</v>
      </c>
      <c r="G45" s="371" t="s">
        <v>159</v>
      </c>
      <c r="H45" s="371" t="s">
        <v>38</v>
      </c>
      <c r="I45" s="371" t="s">
        <v>16</v>
      </c>
      <c r="J45" s="371" t="s">
        <v>65</v>
      </c>
      <c r="K45" s="251"/>
    </row>
    <row r="46" spans="1:11" ht="52.5" customHeight="1">
      <c r="A46" s="320"/>
      <c r="B46" s="375" t="s">
        <v>319</v>
      </c>
      <c r="C46" s="46" t="s">
        <v>270</v>
      </c>
      <c r="D46" s="46" t="s">
        <v>19</v>
      </c>
      <c r="E46" s="46" t="s">
        <v>63</v>
      </c>
      <c r="F46" s="46" t="s">
        <v>38</v>
      </c>
      <c r="G46" s="46" t="s">
        <v>27</v>
      </c>
      <c r="H46" s="46" t="s">
        <v>112</v>
      </c>
      <c r="I46" s="46" t="s">
        <v>16</v>
      </c>
      <c r="J46" s="46" t="s">
        <v>65</v>
      </c>
      <c r="K46" s="64">
        <v>2536</v>
      </c>
    </row>
    <row r="47" spans="1:11" ht="40.5" customHeight="1">
      <c r="A47" s="320"/>
      <c r="B47" s="375" t="s">
        <v>373</v>
      </c>
      <c r="C47" s="46" t="s">
        <v>270</v>
      </c>
      <c r="D47" s="46" t="s">
        <v>19</v>
      </c>
      <c r="E47" s="46" t="s">
        <v>63</v>
      </c>
      <c r="F47" s="46" t="s">
        <v>55</v>
      </c>
      <c r="G47" s="46" t="s">
        <v>348</v>
      </c>
      <c r="H47" s="46" t="s">
        <v>38</v>
      </c>
      <c r="I47" s="46" t="s">
        <v>16</v>
      </c>
      <c r="J47" s="46" t="s">
        <v>65</v>
      </c>
      <c r="K47" s="64">
        <v>2</v>
      </c>
    </row>
    <row r="48" spans="1:11" ht="24" customHeight="1" hidden="1">
      <c r="A48" s="324" t="s">
        <v>286</v>
      </c>
      <c r="B48" s="122" t="s">
        <v>154</v>
      </c>
      <c r="C48" s="115" t="s">
        <v>270</v>
      </c>
      <c r="D48" s="115" t="s">
        <v>19</v>
      </c>
      <c r="E48" s="115" t="s">
        <v>63</v>
      </c>
      <c r="F48" s="115" t="s">
        <v>58</v>
      </c>
      <c r="G48" s="115" t="s">
        <v>14</v>
      </c>
      <c r="H48" s="115" t="s">
        <v>15</v>
      </c>
      <c r="I48" s="115" t="s">
        <v>16</v>
      </c>
      <c r="J48" s="115" t="s">
        <v>65</v>
      </c>
      <c r="K48" s="64">
        <f>K49</f>
        <v>4750</v>
      </c>
    </row>
    <row r="49" spans="1:11" ht="24">
      <c r="A49" s="77"/>
      <c r="B49" s="112" t="s">
        <v>330</v>
      </c>
      <c r="C49" s="46" t="s">
        <v>270</v>
      </c>
      <c r="D49" s="46" t="s">
        <v>19</v>
      </c>
      <c r="E49" s="46" t="s">
        <v>63</v>
      </c>
      <c r="F49" s="46" t="s">
        <v>58</v>
      </c>
      <c r="G49" s="46" t="s">
        <v>153</v>
      </c>
      <c r="H49" s="46" t="s">
        <v>38</v>
      </c>
      <c r="I49" s="46" t="s">
        <v>16</v>
      </c>
      <c r="J49" s="46" t="s">
        <v>65</v>
      </c>
      <c r="K49" s="251">
        <v>4750</v>
      </c>
    </row>
    <row r="50" spans="1:11" ht="12.75">
      <c r="A50" s="320">
        <v>5</v>
      </c>
      <c r="B50" s="328" t="s">
        <v>69</v>
      </c>
      <c r="C50" s="44" t="s">
        <v>14</v>
      </c>
      <c r="D50" s="44" t="s">
        <v>19</v>
      </c>
      <c r="E50" s="44" t="s">
        <v>70</v>
      </c>
      <c r="F50" s="44" t="s">
        <v>15</v>
      </c>
      <c r="G50" s="44" t="s">
        <v>14</v>
      </c>
      <c r="H50" s="44" t="s">
        <v>15</v>
      </c>
      <c r="I50" s="44" t="s">
        <v>16</v>
      </c>
      <c r="J50" s="44" t="s">
        <v>14</v>
      </c>
      <c r="K50" s="249">
        <f>K51</f>
        <v>370</v>
      </c>
    </row>
    <row r="51" spans="1:11" ht="12.75">
      <c r="A51" s="324" t="s">
        <v>287</v>
      </c>
      <c r="B51" s="122" t="s">
        <v>72</v>
      </c>
      <c r="C51" s="115" t="s">
        <v>156</v>
      </c>
      <c r="D51" s="115" t="s">
        <v>19</v>
      </c>
      <c r="E51" s="115" t="s">
        <v>70</v>
      </c>
      <c r="F51" s="115" t="s">
        <v>20</v>
      </c>
      <c r="G51" s="115" t="s">
        <v>14</v>
      </c>
      <c r="H51" s="115" t="s">
        <v>20</v>
      </c>
      <c r="I51" s="115" t="s">
        <v>16</v>
      </c>
      <c r="J51" s="115" t="s">
        <v>65</v>
      </c>
      <c r="K51" s="64">
        <v>370</v>
      </c>
    </row>
    <row r="52" spans="1:11" ht="39.75" customHeight="1" hidden="1">
      <c r="A52" s="236" t="s">
        <v>62</v>
      </c>
      <c r="B52" s="112" t="s">
        <v>217</v>
      </c>
      <c r="C52" s="46" t="s">
        <v>270</v>
      </c>
      <c r="D52" s="46" t="s">
        <v>19</v>
      </c>
      <c r="E52" s="46" t="s">
        <v>218</v>
      </c>
      <c r="F52" s="46" t="s">
        <v>23</v>
      </c>
      <c r="G52" s="46" t="s">
        <v>195</v>
      </c>
      <c r="H52" s="46" t="s">
        <v>38</v>
      </c>
      <c r="I52" s="46" t="s">
        <v>16</v>
      </c>
      <c r="J52" s="46" t="s">
        <v>101</v>
      </c>
      <c r="K52" s="64"/>
    </row>
    <row r="53" spans="1:11" ht="26.25" customHeight="1">
      <c r="A53" s="236"/>
      <c r="B53" s="426" t="s">
        <v>400</v>
      </c>
      <c r="C53" s="403" t="s">
        <v>14</v>
      </c>
      <c r="D53" s="403" t="s">
        <v>19</v>
      </c>
      <c r="E53" s="403" t="s">
        <v>218</v>
      </c>
      <c r="F53" s="403" t="s">
        <v>42</v>
      </c>
      <c r="G53" s="403" t="s">
        <v>14</v>
      </c>
      <c r="H53" s="403" t="s">
        <v>15</v>
      </c>
      <c r="I53" s="403" t="s">
        <v>16</v>
      </c>
      <c r="J53" s="403" t="s">
        <v>101</v>
      </c>
      <c r="K53" s="252">
        <f>K54</f>
        <v>23520</v>
      </c>
    </row>
    <row r="54" spans="1:11" ht="39.75" customHeight="1">
      <c r="A54" s="236"/>
      <c r="B54" s="112" t="s">
        <v>352</v>
      </c>
      <c r="C54" s="46" t="s">
        <v>270</v>
      </c>
      <c r="D54" s="46" t="s">
        <v>19</v>
      </c>
      <c r="E54" s="46" t="s">
        <v>218</v>
      </c>
      <c r="F54" s="46" t="s">
        <v>42</v>
      </c>
      <c r="G54" s="46" t="s">
        <v>159</v>
      </c>
      <c r="H54" s="46" t="s">
        <v>38</v>
      </c>
      <c r="I54" s="46" t="s">
        <v>16</v>
      </c>
      <c r="J54" s="46" t="s">
        <v>101</v>
      </c>
      <c r="K54" s="64">
        <f>24020-500</f>
        <v>23520</v>
      </c>
    </row>
    <row r="55" spans="1:11" ht="12.75">
      <c r="A55" s="236" t="s">
        <v>68</v>
      </c>
      <c r="B55" s="327" t="s">
        <v>113</v>
      </c>
      <c r="C55" s="44" t="s">
        <v>14</v>
      </c>
      <c r="D55" s="44" t="s">
        <v>19</v>
      </c>
      <c r="E55" s="44" t="s">
        <v>114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49">
        <f>K56+K57</f>
        <v>3250</v>
      </c>
    </row>
    <row r="56" spans="1:11" ht="36">
      <c r="A56" s="236"/>
      <c r="B56" s="87" t="s">
        <v>327</v>
      </c>
      <c r="C56" s="46" t="s">
        <v>14</v>
      </c>
      <c r="D56" s="46" t="s">
        <v>19</v>
      </c>
      <c r="E56" s="46" t="s">
        <v>114</v>
      </c>
      <c r="F56" s="46" t="s">
        <v>23</v>
      </c>
      <c r="G56" s="46" t="s">
        <v>273</v>
      </c>
      <c r="H56" s="46" t="s">
        <v>38</v>
      </c>
      <c r="I56" s="46" t="s">
        <v>16</v>
      </c>
      <c r="J56" s="46" t="s">
        <v>118</v>
      </c>
      <c r="K56" s="64">
        <v>1500</v>
      </c>
    </row>
    <row r="57" spans="1:11" ht="36">
      <c r="A57" s="236"/>
      <c r="B57" s="87" t="s">
        <v>320</v>
      </c>
      <c r="C57" s="46" t="s">
        <v>14</v>
      </c>
      <c r="D57" s="46" t="s">
        <v>19</v>
      </c>
      <c r="E57" s="46" t="s">
        <v>114</v>
      </c>
      <c r="F57" s="46" t="s">
        <v>46</v>
      </c>
      <c r="G57" s="46" t="s">
        <v>66</v>
      </c>
      <c r="H57" s="46" t="s">
        <v>112</v>
      </c>
      <c r="I57" s="46" t="s">
        <v>16</v>
      </c>
      <c r="J57" s="46" t="s">
        <v>347</v>
      </c>
      <c r="K57" s="64">
        <v>1750</v>
      </c>
    </row>
    <row r="58" spans="1:11" ht="12.75">
      <c r="A58" s="236" t="s">
        <v>80</v>
      </c>
      <c r="B58" s="328" t="s">
        <v>81</v>
      </c>
      <c r="C58" s="44" t="s">
        <v>14</v>
      </c>
      <c r="D58" s="44" t="s">
        <v>19</v>
      </c>
      <c r="E58" s="44" t="s">
        <v>82</v>
      </c>
      <c r="F58" s="44" t="s">
        <v>15</v>
      </c>
      <c r="G58" s="44" t="s">
        <v>14</v>
      </c>
      <c r="H58" s="44" t="s">
        <v>15</v>
      </c>
      <c r="I58" s="44" t="s">
        <v>16</v>
      </c>
      <c r="J58" s="44" t="s">
        <v>14</v>
      </c>
      <c r="K58" s="249">
        <f>K59+K60+K62+K63+K64+K65</f>
        <v>5420</v>
      </c>
    </row>
    <row r="59" spans="1:11" ht="25.5">
      <c r="A59" s="325" t="s">
        <v>288</v>
      </c>
      <c r="B59" s="372" t="s">
        <v>274</v>
      </c>
      <c r="C59" s="371" t="s">
        <v>26</v>
      </c>
      <c r="D59" s="371" t="s">
        <v>19</v>
      </c>
      <c r="E59" s="371" t="s">
        <v>82</v>
      </c>
      <c r="F59" s="371" t="s">
        <v>42</v>
      </c>
      <c r="G59" s="371" t="s">
        <v>14</v>
      </c>
      <c r="H59" s="371" t="s">
        <v>20</v>
      </c>
      <c r="I59" s="371" t="s">
        <v>16</v>
      </c>
      <c r="J59" s="371" t="s">
        <v>272</v>
      </c>
      <c r="K59" s="249">
        <v>20</v>
      </c>
    </row>
    <row r="60" spans="1:11" ht="51" hidden="1">
      <c r="A60" s="325" t="s">
        <v>289</v>
      </c>
      <c r="B60" s="372" t="s">
        <v>275</v>
      </c>
      <c r="C60" s="371" t="s">
        <v>26</v>
      </c>
      <c r="D60" s="371" t="s">
        <v>19</v>
      </c>
      <c r="E60" s="371" t="s">
        <v>82</v>
      </c>
      <c r="F60" s="371" t="s">
        <v>46</v>
      </c>
      <c r="G60" s="371" t="s">
        <v>14</v>
      </c>
      <c r="H60" s="371" t="s">
        <v>20</v>
      </c>
      <c r="I60" s="371" t="s">
        <v>16</v>
      </c>
      <c r="J60" s="371" t="s">
        <v>272</v>
      </c>
      <c r="K60" s="249">
        <v>0</v>
      </c>
    </row>
    <row r="61" spans="1:11" ht="38.25" hidden="1">
      <c r="A61" s="325" t="s">
        <v>290</v>
      </c>
      <c r="B61" s="372" t="s">
        <v>336</v>
      </c>
      <c r="C61" s="371" t="s">
        <v>14</v>
      </c>
      <c r="D61" s="371" t="s">
        <v>19</v>
      </c>
      <c r="E61" s="371" t="s">
        <v>82</v>
      </c>
      <c r="F61" s="371" t="s">
        <v>52</v>
      </c>
      <c r="G61" s="371" t="s">
        <v>14</v>
      </c>
      <c r="H61" s="371" t="s">
        <v>20</v>
      </c>
      <c r="I61" s="371" t="s">
        <v>16</v>
      </c>
      <c r="J61" s="371" t="s">
        <v>272</v>
      </c>
      <c r="K61" s="249"/>
    </row>
    <row r="62" spans="1:11" ht="25.5">
      <c r="A62" s="325"/>
      <c r="B62" s="372" t="s">
        <v>337</v>
      </c>
      <c r="C62" s="371" t="s">
        <v>14</v>
      </c>
      <c r="D62" s="371" t="s">
        <v>19</v>
      </c>
      <c r="E62" s="371" t="s">
        <v>82</v>
      </c>
      <c r="F62" s="371" t="s">
        <v>338</v>
      </c>
      <c r="G62" s="371" t="s">
        <v>85</v>
      </c>
      <c r="H62" s="371" t="s">
        <v>20</v>
      </c>
      <c r="I62" s="371" t="s">
        <v>16</v>
      </c>
      <c r="J62" s="371" t="s">
        <v>272</v>
      </c>
      <c r="K62" s="249">
        <v>30</v>
      </c>
    </row>
    <row r="63" spans="1:11" ht="39.75" customHeight="1">
      <c r="A63" s="325" t="s">
        <v>291</v>
      </c>
      <c r="B63" s="372" t="s">
        <v>276</v>
      </c>
      <c r="C63" s="371" t="s">
        <v>14</v>
      </c>
      <c r="D63" s="371" t="s">
        <v>19</v>
      </c>
      <c r="E63" s="371" t="s">
        <v>82</v>
      </c>
      <c r="F63" s="371" t="s">
        <v>277</v>
      </c>
      <c r="G63" s="371" t="s">
        <v>14</v>
      </c>
      <c r="H63" s="371" t="s">
        <v>20</v>
      </c>
      <c r="I63" s="371" t="s">
        <v>16</v>
      </c>
      <c r="J63" s="371" t="s">
        <v>272</v>
      </c>
      <c r="K63" s="249">
        <v>50</v>
      </c>
    </row>
    <row r="64" spans="1:11" ht="25.5">
      <c r="A64" s="325" t="s">
        <v>292</v>
      </c>
      <c r="B64" s="372" t="s">
        <v>278</v>
      </c>
      <c r="C64" s="371" t="s">
        <v>335</v>
      </c>
      <c r="D64" s="371" t="s">
        <v>19</v>
      </c>
      <c r="E64" s="371" t="s">
        <v>82</v>
      </c>
      <c r="F64" s="371" t="s">
        <v>279</v>
      </c>
      <c r="G64" s="371" t="s">
        <v>14</v>
      </c>
      <c r="H64" s="371" t="s">
        <v>20</v>
      </c>
      <c r="I64" s="371" t="s">
        <v>16</v>
      </c>
      <c r="J64" s="371" t="s">
        <v>272</v>
      </c>
      <c r="K64" s="249">
        <v>4020</v>
      </c>
    </row>
    <row r="65" spans="1:11" ht="39" customHeight="1">
      <c r="A65" s="325" t="s">
        <v>293</v>
      </c>
      <c r="B65" s="372" t="s">
        <v>328</v>
      </c>
      <c r="C65" s="371" t="s">
        <v>14</v>
      </c>
      <c r="D65" s="371" t="s">
        <v>19</v>
      </c>
      <c r="E65" s="371" t="s">
        <v>82</v>
      </c>
      <c r="F65" s="371" t="s">
        <v>158</v>
      </c>
      <c r="G65" s="371" t="s">
        <v>14</v>
      </c>
      <c r="H65" s="371" t="s">
        <v>15</v>
      </c>
      <c r="I65" s="371" t="s">
        <v>16</v>
      </c>
      <c r="J65" s="371" t="s">
        <v>272</v>
      </c>
      <c r="K65" s="249">
        <v>1300</v>
      </c>
    </row>
    <row r="66" spans="1:11" ht="25.5" hidden="1">
      <c r="A66" s="236" t="s">
        <v>111</v>
      </c>
      <c r="B66" s="328" t="s">
        <v>260</v>
      </c>
      <c r="C66" s="44" t="s">
        <v>270</v>
      </c>
      <c r="D66" s="44" t="s">
        <v>19</v>
      </c>
      <c r="E66" s="44" t="s">
        <v>84</v>
      </c>
      <c r="F66" s="44" t="s">
        <v>38</v>
      </c>
      <c r="G66" s="44" t="s">
        <v>159</v>
      </c>
      <c r="H66" s="44" t="s">
        <v>38</v>
      </c>
      <c r="I66" s="44" t="s">
        <v>16</v>
      </c>
      <c r="J66" s="44" t="s">
        <v>86</v>
      </c>
      <c r="K66" s="249">
        <v>0</v>
      </c>
    </row>
    <row r="67" spans="1:12" ht="12.75">
      <c r="A67" s="236" t="s">
        <v>87</v>
      </c>
      <c r="B67" s="369" t="s">
        <v>88</v>
      </c>
      <c r="C67" s="44" t="s">
        <v>14</v>
      </c>
      <c r="D67" s="44" t="s">
        <v>89</v>
      </c>
      <c r="E67" s="44" t="s">
        <v>15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233">
        <f>K68+K117</f>
        <v>246075.2</v>
      </c>
      <c r="L67" s="421">
        <f>L68+L117</f>
        <v>318638895.58</v>
      </c>
    </row>
    <row r="68" spans="1:12" ht="12.75">
      <c r="A68" s="321"/>
      <c r="B68" s="105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233">
        <f>K69+K90+K112</f>
        <v>244945.2</v>
      </c>
      <c r="L68" s="421">
        <f>L69+L72+L90+L112+L115+L116</f>
        <v>316749895.58</v>
      </c>
    </row>
    <row r="69" spans="1:12" ht="12.75">
      <c r="A69" s="329" t="s">
        <v>17</v>
      </c>
      <c r="B69" s="105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264</v>
      </c>
      <c r="H69" s="44" t="s">
        <v>15</v>
      </c>
      <c r="I69" s="44" t="s">
        <v>16</v>
      </c>
      <c r="J69" s="44" t="s">
        <v>91</v>
      </c>
      <c r="K69" s="249">
        <f>K71</f>
        <v>87709</v>
      </c>
      <c r="L69">
        <v>77827000</v>
      </c>
    </row>
    <row r="70" spans="1:11" ht="24" hidden="1">
      <c r="A70" s="325" t="s">
        <v>102</v>
      </c>
      <c r="B70" s="135" t="s">
        <v>160</v>
      </c>
      <c r="C70" s="371" t="s">
        <v>14</v>
      </c>
      <c r="D70" s="371" t="s">
        <v>89</v>
      </c>
      <c r="E70" s="371" t="s">
        <v>23</v>
      </c>
      <c r="F70" s="371" t="s">
        <v>20</v>
      </c>
      <c r="G70" s="371" t="s">
        <v>27</v>
      </c>
      <c r="H70" s="371" t="s">
        <v>112</v>
      </c>
      <c r="I70" s="371" t="s">
        <v>16</v>
      </c>
      <c r="J70" s="371" t="s">
        <v>91</v>
      </c>
      <c r="K70" s="249"/>
    </row>
    <row r="71" spans="1:11" ht="22.5" customHeight="1">
      <c r="A71" s="325" t="s">
        <v>21</v>
      </c>
      <c r="B71" s="135" t="s">
        <v>321</v>
      </c>
      <c r="C71" s="371" t="s">
        <v>270</v>
      </c>
      <c r="D71" s="371" t="s">
        <v>89</v>
      </c>
      <c r="E71" s="371" t="s">
        <v>23</v>
      </c>
      <c r="F71" s="371" t="s">
        <v>20</v>
      </c>
      <c r="G71" s="371" t="s">
        <v>264</v>
      </c>
      <c r="H71" s="371" t="s">
        <v>38</v>
      </c>
      <c r="I71" s="371" t="s">
        <v>16</v>
      </c>
      <c r="J71" s="371" t="s">
        <v>91</v>
      </c>
      <c r="K71" s="361">
        <v>87709</v>
      </c>
    </row>
    <row r="72" spans="1:12" ht="18.75" customHeight="1" hidden="1">
      <c r="A72" s="325"/>
      <c r="B72" s="402" t="s">
        <v>360</v>
      </c>
      <c r="C72" s="403" t="s">
        <v>14</v>
      </c>
      <c r="D72" s="403" t="s">
        <v>89</v>
      </c>
      <c r="E72" s="403" t="s">
        <v>23</v>
      </c>
      <c r="F72" s="403" t="s">
        <v>23</v>
      </c>
      <c r="G72" s="403" t="s">
        <v>14</v>
      </c>
      <c r="H72" s="403" t="s">
        <v>15</v>
      </c>
      <c r="I72" s="403" t="s">
        <v>16</v>
      </c>
      <c r="J72" s="403" t="s">
        <v>91</v>
      </c>
      <c r="K72" s="404">
        <f>K73+K74+K75+K76+K77+K78+K79+K80+K81+K82+K83+K84+K85</f>
        <v>0</v>
      </c>
      <c r="L72" s="404">
        <f>L73+L74+L75+L76+L77+L78+L79+L80+L81+L82+L83+L84+L85</f>
        <v>62180013</v>
      </c>
    </row>
    <row r="73" spans="1:12" ht="18.75" customHeight="1" hidden="1">
      <c r="A73" s="325"/>
      <c r="B73" s="135" t="s">
        <v>379</v>
      </c>
      <c r="C73" s="371" t="s">
        <v>270</v>
      </c>
      <c r="D73" s="371" t="s">
        <v>89</v>
      </c>
      <c r="E73" s="371" t="s">
        <v>23</v>
      </c>
      <c r="F73" s="371" t="s">
        <v>23</v>
      </c>
      <c r="G73" s="371" t="s">
        <v>151</v>
      </c>
      <c r="H73" s="371" t="s">
        <v>38</v>
      </c>
      <c r="I73" s="371" t="s">
        <v>16</v>
      </c>
      <c r="J73" s="371" t="s">
        <v>91</v>
      </c>
      <c r="K73" s="361"/>
      <c r="L73" s="423">
        <v>2492600</v>
      </c>
    </row>
    <row r="74" spans="1:12" ht="18.75" customHeight="1" hidden="1">
      <c r="A74" s="325"/>
      <c r="B74" s="135" t="s">
        <v>386</v>
      </c>
      <c r="C74" s="371" t="s">
        <v>270</v>
      </c>
      <c r="D74" s="371" t="s">
        <v>89</v>
      </c>
      <c r="E74" s="371" t="s">
        <v>23</v>
      </c>
      <c r="F74" s="371" t="s">
        <v>23</v>
      </c>
      <c r="G74" s="371" t="s">
        <v>387</v>
      </c>
      <c r="H74" s="371" t="s">
        <v>38</v>
      </c>
      <c r="I74" s="371" t="s">
        <v>16</v>
      </c>
      <c r="J74" s="371" t="s">
        <v>91</v>
      </c>
      <c r="K74" s="361"/>
      <c r="L74" s="423">
        <v>2324400</v>
      </c>
    </row>
    <row r="75" spans="1:12" ht="24.75" customHeight="1" hidden="1">
      <c r="A75" s="325"/>
      <c r="B75" s="135" t="s">
        <v>399</v>
      </c>
      <c r="C75" s="371" t="s">
        <v>270</v>
      </c>
      <c r="D75" s="371" t="s">
        <v>89</v>
      </c>
      <c r="E75" s="371" t="s">
        <v>23</v>
      </c>
      <c r="F75" s="371" t="s">
        <v>23</v>
      </c>
      <c r="G75" s="371" t="s">
        <v>395</v>
      </c>
      <c r="H75" s="371" t="s">
        <v>38</v>
      </c>
      <c r="I75" s="371" t="s">
        <v>16</v>
      </c>
      <c r="J75" s="371" t="s">
        <v>91</v>
      </c>
      <c r="K75" s="361"/>
      <c r="L75" s="423">
        <v>5177670</v>
      </c>
    </row>
    <row r="76" spans="1:13" ht="18.75" customHeight="1" hidden="1">
      <c r="A76" s="325"/>
      <c r="B76" s="135" t="s">
        <v>389</v>
      </c>
      <c r="C76" s="371" t="s">
        <v>270</v>
      </c>
      <c r="D76" s="371" t="s">
        <v>89</v>
      </c>
      <c r="E76" s="371" t="s">
        <v>23</v>
      </c>
      <c r="F76" s="371" t="s">
        <v>23</v>
      </c>
      <c r="G76" s="371" t="s">
        <v>390</v>
      </c>
      <c r="H76" s="371" t="s">
        <v>38</v>
      </c>
      <c r="I76" s="371" t="s">
        <v>391</v>
      </c>
      <c r="J76" s="371" t="s">
        <v>91</v>
      </c>
      <c r="K76" s="361"/>
      <c r="L76" s="423">
        <v>19658206</v>
      </c>
      <c r="M76">
        <v>19658.2</v>
      </c>
    </row>
    <row r="77" spans="1:12" ht="36" customHeight="1" hidden="1">
      <c r="A77" s="325"/>
      <c r="B77" s="135" t="s">
        <v>397</v>
      </c>
      <c r="C77" s="371" t="s">
        <v>270</v>
      </c>
      <c r="D77" s="371" t="s">
        <v>89</v>
      </c>
      <c r="E77" s="371" t="s">
        <v>23</v>
      </c>
      <c r="F77" s="371" t="s">
        <v>23</v>
      </c>
      <c r="G77" s="371" t="s">
        <v>390</v>
      </c>
      <c r="H77" s="371" t="s">
        <v>38</v>
      </c>
      <c r="I77" s="371" t="s">
        <v>398</v>
      </c>
      <c r="J77" s="371" t="s">
        <v>91</v>
      </c>
      <c r="K77" s="361"/>
      <c r="L77" s="423">
        <v>14526007</v>
      </c>
    </row>
    <row r="78" spans="1:13" ht="18.75" customHeight="1" hidden="1">
      <c r="A78" s="325"/>
      <c r="B78" s="135" t="s">
        <v>393</v>
      </c>
      <c r="C78" s="371" t="s">
        <v>270</v>
      </c>
      <c r="D78" s="371" t="s">
        <v>89</v>
      </c>
      <c r="E78" s="371" t="s">
        <v>23</v>
      </c>
      <c r="F78" s="371" t="s">
        <v>23</v>
      </c>
      <c r="G78" s="371" t="s">
        <v>392</v>
      </c>
      <c r="H78" s="371" t="s">
        <v>38</v>
      </c>
      <c r="I78" s="371" t="s">
        <v>391</v>
      </c>
      <c r="J78" s="371" t="s">
        <v>91</v>
      </c>
      <c r="K78" s="361"/>
      <c r="L78" s="423">
        <v>764887</v>
      </c>
      <c r="M78">
        <v>764.9</v>
      </c>
    </row>
    <row r="79" spans="1:12" ht="25.5" customHeight="1" hidden="1">
      <c r="A79" s="325"/>
      <c r="B79" s="135" t="s">
        <v>396</v>
      </c>
      <c r="C79" s="371" t="s">
        <v>270</v>
      </c>
      <c r="D79" s="371" t="s">
        <v>89</v>
      </c>
      <c r="E79" s="371" t="s">
        <v>23</v>
      </c>
      <c r="F79" s="371" t="s">
        <v>23</v>
      </c>
      <c r="G79" s="371" t="s">
        <v>392</v>
      </c>
      <c r="H79" s="371" t="s">
        <v>38</v>
      </c>
      <c r="I79" s="371" t="s">
        <v>398</v>
      </c>
      <c r="J79" s="371" t="s">
        <v>91</v>
      </c>
      <c r="K79" s="361"/>
      <c r="L79" s="423">
        <v>1017353</v>
      </c>
    </row>
    <row r="80" spans="1:12" ht="18.75" customHeight="1" hidden="1">
      <c r="A80" s="325"/>
      <c r="B80" s="135" t="s">
        <v>388</v>
      </c>
      <c r="C80" s="371" t="s">
        <v>270</v>
      </c>
      <c r="D80" s="371" t="s">
        <v>89</v>
      </c>
      <c r="E80" s="371" t="s">
        <v>23</v>
      </c>
      <c r="F80" s="371" t="s">
        <v>23</v>
      </c>
      <c r="G80" s="371" t="s">
        <v>394</v>
      </c>
      <c r="H80" s="371" t="s">
        <v>38</v>
      </c>
      <c r="I80" s="371" t="s">
        <v>16</v>
      </c>
      <c r="J80" s="371" t="s">
        <v>91</v>
      </c>
      <c r="K80" s="361"/>
      <c r="L80" s="423">
        <v>1967890</v>
      </c>
    </row>
    <row r="81" spans="1:12" ht="22.5" customHeight="1" hidden="1">
      <c r="A81" s="325"/>
      <c r="B81" s="135" t="s">
        <v>361</v>
      </c>
      <c r="C81" s="371" t="s">
        <v>270</v>
      </c>
      <c r="D81" s="371" t="s">
        <v>89</v>
      </c>
      <c r="E81" s="371" t="s">
        <v>23</v>
      </c>
      <c r="F81" s="371" t="s">
        <v>23</v>
      </c>
      <c r="G81" s="371" t="s">
        <v>265</v>
      </c>
      <c r="H81" s="371" t="s">
        <v>38</v>
      </c>
      <c r="I81" s="371" t="s">
        <v>16</v>
      </c>
      <c r="J81" s="371" t="s">
        <v>91</v>
      </c>
      <c r="K81" s="361"/>
      <c r="L81">
        <v>2107000</v>
      </c>
    </row>
    <row r="82" spans="1:12" ht="42" customHeight="1" hidden="1">
      <c r="A82" s="325"/>
      <c r="B82" s="135" t="s">
        <v>362</v>
      </c>
      <c r="C82" s="371" t="s">
        <v>270</v>
      </c>
      <c r="D82" s="371" t="s">
        <v>89</v>
      </c>
      <c r="E82" s="371" t="s">
        <v>23</v>
      </c>
      <c r="F82" s="371" t="s">
        <v>23</v>
      </c>
      <c r="G82" s="371" t="s">
        <v>265</v>
      </c>
      <c r="H82" s="371" t="s">
        <v>38</v>
      </c>
      <c r="I82" s="371" t="s">
        <v>16</v>
      </c>
      <c r="J82" s="371" t="s">
        <v>91</v>
      </c>
      <c r="K82" s="361"/>
      <c r="L82">
        <v>4780000</v>
      </c>
    </row>
    <row r="83" spans="1:12" ht="42" customHeight="1" hidden="1">
      <c r="A83" s="325"/>
      <c r="B83" s="135" t="s">
        <v>365</v>
      </c>
      <c r="C83" s="371" t="s">
        <v>270</v>
      </c>
      <c r="D83" s="371" t="s">
        <v>89</v>
      </c>
      <c r="E83" s="371" t="s">
        <v>23</v>
      </c>
      <c r="F83" s="371" t="s">
        <v>23</v>
      </c>
      <c r="G83" s="371" t="s">
        <v>265</v>
      </c>
      <c r="H83" s="371" t="s">
        <v>38</v>
      </c>
      <c r="I83" s="371" t="s">
        <v>16</v>
      </c>
      <c r="J83" s="371" t="s">
        <v>91</v>
      </c>
      <c r="K83" s="361"/>
      <c r="L83">
        <v>6060000</v>
      </c>
    </row>
    <row r="84" spans="1:12" ht="19.5" customHeight="1" hidden="1">
      <c r="A84" s="325"/>
      <c r="B84" s="135" t="s">
        <v>376</v>
      </c>
      <c r="C84" s="371" t="s">
        <v>270</v>
      </c>
      <c r="D84" s="371" t="s">
        <v>89</v>
      </c>
      <c r="E84" s="371" t="s">
        <v>23</v>
      </c>
      <c r="F84" s="371" t="s">
        <v>23</v>
      </c>
      <c r="G84" s="371" t="s">
        <v>265</v>
      </c>
      <c r="H84" s="371" t="s">
        <v>38</v>
      </c>
      <c r="I84" s="371" t="s">
        <v>16</v>
      </c>
      <c r="J84" s="371" t="s">
        <v>91</v>
      </c>
      <c r="K84" s="361"/>
      <c r="L84">
        <v>1282000</v>
      </c>
    </row>
    <row r="85" spans="1:12" ht="19.5" customHeight="1" hidden="1">
      <c r="A85" s="325"/>
      <c r="B85" s="135" t="s">
        <v>377</v>
      </c>
      <c r="C85" s="371" t="s">
        <v>270</v>
      </c>
      <c r="D85" s="371" t="s">
        <v>89</v>
      </c>
      <c r="E85" s="371" t="s">
        <v>23</v>
      </c>
      <c r="F85" s="371" t="s">
        <v>23</v>
      </c>
      <c r="G85" s="371" t="s">
        <v>265</v>
      </c>
      <c r="H85" s="371" t="s">
        <v>38</v>
      </c>
      <c r="I85" s="371" t="s">
        <v>16</v>
      </c>
      <c r="J85" s="371" t="s">
        <v>91</v>
      </c>
      <c r="K85" s="361"/>
      <c r="L85">
        <v>22000</v>
      </c>
    </row>
    <row r="86" spans="1:11" ht="22.5" customHeight="1" hidden="1">
      <c r="A86" s="325"/>
      <c r="B86" s="135"/>
      <c r="C86" s="371"/>
      <c r="D86" s="371"/>
      <c r="E86" s="371"/>
      <c r="F86" s="371"/>
      <c r="G86" s="371"/>
      <c r="H86" s="371"/>
      <c r="I86" s="371"/>
      <c r="J86" s="371"/>
      <c r="K86" s="361"/>
    </row>
    <row r="87" spans="1:11" ht="22.5" customHeight="1" hidden="1">
      <c r="A87" s="325"/>
      <c r="B87" s="135"/>
      <c r="C87" s="371"/>
      <c r="D87" s="371"/>
      <c r="E87" s="371"/>
      <c r="F87" s="371"/>
      <c r="G87" s="371"/>
      <c r="H87" s="371"/>
      <c r="I87" s="371"/>
      <c r="J87" s="371"/>
      <c r="K87" s="361"/>
    </row>
    <row r="88" spans="1:11" ht="22.5" customHeight="1" hidden="1">
      <c r="A88" s="325"/>
      <c r="B88" s="135"/>
      <c r="C88" s="371"/>
      <c r="D88" s="371"/>
      <c r="E88" s="371"/>
      <c r="F88" s="371"/>
      <c r="G88" s="371"/>
      <c r="H88" s="371"/>
      <c r="I88" s="371"/>
      <c r="J88" s="371"/>
      <c r="K88" s="361"/>
    </row>
    <row r="89" spans="1:11" ht="22.5" customHeight="1" hidden="1">
      <c r="A89" s="325"/>
      <c r="B89" s="135"/>
      <c r="C89" s="371"/>
      <c r="D89" s="371"/>
      <c r="E89" s="371"/>
      <c r="F89" s="371"/>
      <c r="G89" s="371"/>
      <c r="H89" s="371"/>
      <c r="I89" s="371"/>
      <c r="J89" s="371"/>
      <c r="K89" s="361"/>
    </row>
    <row r="90" spans="1:12" ht="12.75">
      <c r="A90" s="236" t="s">
        <v>36</v>
      </c>
      <c r="B90" s="105" t="s">
        <v>252</v>
      </c>
      <c r="C90" s="44" t="s">
        <v>14</v>
      </c>
      <c r="D90" s="44" t="s">
        <v>89</v>
      </c>
      <c r="E90" s="44" t="s">
        <v>23</v>
      </c>
      <c r="F90" s="44" t="s">
        <v>42</v>
      </c>
      <c r="G90" s="44" t="s">
        <v>14</v>
      </c>
      <c r="H90" s="44" t="s">
        <v>15</v>
      </c>
      <c r="I90" s="44" t="s">
        <v>16</v>
      </c>
      <c r="J90" s="44" t="s">
        <v>91</v>
      </c>
      <c r="K90" s="359">
        <f>K91+K92+K93+K94+K95+K96+K97+K98+K99+K100+K101+K102+K103+K104+K105+K107+K108+K109+K110+K111</f>
        <v>156736.2</v>
      </c>
      <c r="L90" s="359">
        <f>L91+L92+L93+L94+L95+L96+L97+L98+L99+L100+L101+L102+L103+L104+L105+L107+L108+L109+L110+L111</f>
        <v>170555756.57999998</v>
      </c>
    </row>
    <row r="91" spans="1:12" ht="24">
      <c r="A91" s="236"/>
      <c r="B91" s="135" t="s">
        <v>384</v>
      </c>
      <c r="C91" s="117" t="s">
        <v>270</v>
      </c>
      <c r="D91" s="117" t="s">
        <v>89</v>
      </c>
      <c r="E91" s="117" t="s">
        <v>23</v>
      </c>
      <c r="F91" s="117" t="s">
        <v>42</v>
      </c>
      <c r="G91" s="117" t="s">
        <v>385</v>
      </c>
      <c r="H91" s="117" t="s">
        <v>38</v>
      </c>
      <c r="I91" s="117" t="s">
        <v>16</v>
      </c>
      <c r="J91" s="117" t="s">
        <v>91</v>
      </c>
      <c r="K91" s="424">
        <v>276</v>
      </c>
      <c r="L91" s="425">
        <v>102000</v>
      </c>
    </row>
    <row r="92" spans="1:12" ht="12.75" hidden="1">
      <c r="A92" s="236"/>
      <c r="B92" s="135" t="s">
        <v>383</v>
      </c>
      <c r="C92" s="371" t="s">
        <v>270</v>
      </c>
      <c r="D92" s="371" t="s">
        <v>89</v>
      </c>
      <c r="E92" s="371" t="s">
        <v>23</v>
      </c>
      <c r="F92" s="371" t="s">
        <v>42</v>
      </c>
      <c r="G92" s="371" t="s">
        <v>323</v>
      </c>
      <c r="H92" s="371" t="s">
        <v>38</v>
      </c>
      <c r="I92" s="371" t="s">
        <v>16</v>
      </c>
      <c r="J92" s="371" t="s">
        <v>91</v>
      </c>
      <c r="K92" s="361"/>
      <c r="L92" s="423">
        <v>1400</v>
      </c>
    </row>
    <row r="93" spans="1:12" ht="41.25" customHeight="1">
      <c r="A93" s="41"/>
      <c r="B93" s="93" t="s">
        <v>350</v>
      </c>
      <c r="C93" s="46" t="s">
        <v>270</v>
      </c>
      <c r="D93" s="46" t="s">
        <v>89</v>
      </c>
      <c r="E93" s="46" t="s">
        <v>23</v>
      </c>
      <c r="F93" s="46" t="s">
        <v>42</v>
      </c>
      <c r="G93" s="46" t="s">
        <v>348</v>
      </c>
      <c r="H93" s="46" t="s">
        <v>38</v>
      </c>
      <c r="I93" s="46" t="s">
        <v>16</v>
      </c>
      <c r="J93" s="46" t="s">
        <v>91</v>
      </c>
      <c r="K93" s="361">
        <v>1273.2</v>
      </c>
      <c r="L93">
        <f>764000+266356.58</f>
        <v>1030356.5800000001</v>
      </c>
    </row>
    <row r="94" spans="1:12" ht="28.5" customHeight="1">
      <c r="A94" s="41"/>
      <c r="B94" s="93" t="s">
        <v>366</v>
      </c>
      <c r="C94" s="46" t="s">
        <v>270</v>
      </c>
      <c r="D94" s="46" t="s">
        <v>89</v>
      </c>
      <c r="E94" s="46" t="s">
        <v>23</v>
      </c>
      <c r="F94" s="46" t="s">
        <v>42</v>
      </c>
      <c r="G94" s="46" t="s">
        <v>31</v>
      </c>
      <c r="H94" s="46" t="s">
        <v>38</v>
      </c>
      <c r="I94" s="46" t="s">
        <v>16</v>
      </c>
      <c r="J94" s="46" t="s">
        <v>91</v>
      </c>
      <c r="K94" s="361">
        <v>2932</v>
      </c>
      <c r="L94">
        <v>3287000</v>
      </c>
    </row>
    <row r="95" spans="1:12" ht="120" customHeight="1">
      <c r="A95" s="41" t="s">
        <v>39</v>
      </c>
      <c r="B95" s="92" t="s">
        <v>136</v>
      </c>
      <c r="C95" s="46" t="s">
        <v>270</v>
      </c>
      <c r="D95" s="46" t="s">
        <v>89</v>
      </c>
      <c r="E95" s="46" t="s">
        <v>23</v>
      </c>
      <c r="F95" s="46" t="s">
        <v>42</v>
      </c>
      <c r="G95" s="46" t="s">
        <v>265</v>
      </c>
      <c r="H95" s="46" t="s">
        <v>38</v>
      </c>
      <c r="I95" s="46" t="s">
        <v>16</v>
      </c>
      <c r="J95" s="46" t="s">
        <v>91</v>
      </c>
      <c r="K95" s="360">
        <f>96043</f>
        <v>96043</v>
      </c>
      <c r="L95">
        <v>116114000</v>
      </c>
    </row>
    <row r="96" spans="1:12" ht="36">
      <c r="A96" s="41" t="s">
        <v>41</v>
      </c>
      <c r="B96" s="92" t="s">
        <v>137</v>
      </c>
      <c r="C96" s="46" t="s">
        <v>270</v>
      </c>
      <c r="D96" s="46" t="s">
        <v>89</v>
      </c>
      <c r="E96" s="46" t="s">
        <v>23</v>
      </c>
      <c r="F96" s="46" t="s">
        <v>42</v>
      </c>
      <c r="G96" s="46" t="s">
        <v>195</v>
      </c>
      <c r="H96" s="46" t="s">
        <v>38</v>
      </c>
      <c r="I96" s="46" t="s">
        <v>16</v>
      </c>
      <c r="J96" s="46" t="s">
        <v>91</v>
      </c>
      <c r="K96" s="360">
        <v>333</v>
      </c>
      <c r="L96">
        <v>317000</v>
      </c>
    </row>
    <row r="97" spans="1:12" ht="27.75" customHeight="1">
      <c r="A97" s="41" t="s">
        <v>95</v>
      </c>
      <c r="B97" s="93" t="s">
        <v>139</v>
      </c>
      <c r="C97" s="46" t="s">
        <v>270</v>
      </c>
      <c r="D97" s="46" t="s">
        <v>89</v>
      </c>
      <c r="E97" s="46" t="s">
        <v>23</v>
      </c>
      <c r="F97" s="46" t="s">
        <v>42</v>
      </c>
      <c r="G97" s="46" t="s">
        <v>195</v>
      </c>
      <c r="H97" s="46" t="s">
        <v>38</v>
      </c>
      <c r="I97" s="46" t="s">
        <v>16</v>
      </c>
      <c r="J97" s="46" t="s">
        <v>91</v>
      </c>
      <c r="K97" s="360">
        <v>1315</v>
      </c>
      <c r="L97">
        <v>1170000</v>
      </c>
    </row>
    <row r="98" spans="1:12" ht="48">
      <c r="A98" s="41" t="s">
        <v>109</v>
      </c>
      <c r="B98" s="93" t="s">
        <v>140</v>
      </c>
      <c r="C98" s="46" t="s">
        <v>270</v>
      </c>
      <c r="D98" s="46" t="s">
        <v>89</v>
      </c>
      <c r="E98" s="46" t="s">
        <v>23</v>
      </c>
      <c r="F98" s="46" t="s">
        <v>42</v>
      </c>
      <c r="G98" s="46" t="s">
        <v>195</v>
      </c>
      <c r="H98" s="46" t="s">
        <v>38</v>
      </c>
      <c r="I98" s="46" t="s">
        <v>16</v>
      </c>
      <c r="J98" s="46" t="s">
        <v>91</v>
      </c>
      <c r="K98" s="360">
        <v>3867</v>
      </c>
      <c r="L98">
        <f>3912000+632000</f>
        <v>4544000</v>
      </c>
    </row>
    <row r="99" spans="1:12" ht="60">
      <c r="A99" s="41" t="s">
        <v>110</v>
      </c>
      <c r="B99" s="93" t="s">
        <v>141</v>
      </c>
      <c r="C99" s="46" t="s">
        <v>270</v>
      </c>
      <c r="D99" s="46" t="s">
        <v>89</v>
      </c>
      <c r="E99" s="46" t="s">
        <v>23</v>
      </c>
      <c r="F99" s="46" t="s">
        <v>42</v>
      </c>
      <c r="G99" s="46" t="s">
        <v>195</v>
      </c>
      <c r="H99" s="46" t="s">
        <v>38</v>
      </c>
      <c r="I99" s="46" t="s">
        <v>16</v>
      </c>
      <c r="J99" s="46" t="s">
        <v>91</v>
      </c>
      <c r="K99" s="360">
        <v>1172</v>
      </c>
      <c r="L99">
        <v>424000</v>
      </c>
    </row>
    <row r="100" spans="1:12" ht="48">
      <c r="A100" s="41" t="s">
        <v>294</v>
      </c>
      <c r="B100" s="93" t="s">
        <v>142</v>
      </c>
      <c r="C100" s="46" t="s">
        <v>270</v>
      </c>
      <c r="D100" s="46" t="s">
        <v>89</v>
      </c>
      <c r="E100" s="46" t="s">
        <v>23</v>
      </c>
      <c r="F100" s="46" t="s">
        <v>42</v>
      </c>
      <c r="G100" s="46" t="s">
        <v>195</v>
      </c>
      <c r="H100" s="46" t="s">
        <v>38</v>
      </c>
      <c r="I100" s="46" t="s">
        <v>16</v>
      </c>
      <c r="J100" s="46" t="s">
        <v>91</v>
      </c>
      <c r="K100" s="360">
        <v>13106</v>
      </c>
      <c r="L100">
        <v>11987000</v>
      </c>
    </row>
    <row r="101" spans="1:12" ht="36">
      <c r="A101" s="41" t="s">
        <v>295</v>
      </c>
      <c r="B101" s="93" t="s">
        <v>143</v>
      </c>
      <c r="C101" s="46" t="s">
        <v>270</v>
      </c>
      <c r="D101" s="46" t="s">
        <v>89</v>
      </c>
      <c r="E101" s="46" t="s">
        <v>23</v>
      </c>
      <c r="F101" s="46" t="s">
        <v>42</v>
      </c>
      <c r="G101" s="46" t="s">
        <v>195</v>
      </c>
      <c r="H101" s="46" t="s">
        <v>38</v>
      </c>
      <c r="I101" s="46" t="s">
        <v>16</v>
      </c>
      <c r="J101" s="46" t="s">
        <v>91</v>
      </c>
      <c r="K101" s="360">
        <v>6564</v>
      </c>
      <c r="L101">
        <v>6089000</v>
      </c>
    </row>
    <row r="102" spans="1:12" ht="24">
      <c r="A102" s="41" t="s">
        <v>296</v>
      </c>
      <c r="B102" s="93" t="s">
        <v>144</v>
      </c>
      <c r="C102" s="46" t="s">
        <v>270</v>
      </c>
      <c r="D102" s="46" t="s">
        <v>89</v>
      </c>
      <c r="E102" s="46" t="s">
        <v>23</v>
      </c>
      <c r="F102" s="46" t="s">
        <v>42</v>
      </c>
      <c r="G102" s="46" t="s">
        <v>195</v>
      </c>
      <c r="H102" s="46" t="s">
        <v>38</v>
      </c>
      <c r="I102" s="46" t="s">
        <v>16</v>
      </c>
      <c r="J102" s="46" t="s">
        <v>91</v>
      </c>
      <c r="K102" s="360">
        <v>182</v>
      </c>
      <c r="L102">
        <v>177000</v>
      </c>
    </row>
    <row r="103" spans="1:12" ht="48">
      <c r="A103" s="41" t="s">
        <v>297</v>
      </c>
      <c r="B103" s="93" t="s">
        <v>245</v>
      </c>
      <c r="C103" s="46" t="s">
        <v>270</v>
      </c>
      <c r="D103" s="46" t="s">
        <v>89</v>
      </c>
      <c r="E103" s="46" t="s">
        <v>23</v>
      </c>
      <c r="F103" s="46" t="s">
        <v>42</v>
      </c>
      <c r="G103" s="46" t="s">
        <v>195</v>
      </c>
      <c r="H103" s="46" t="s">
        <v>38</v>
      </c>
      <c r="I103" s="46" t="s">
        <v>16</v>
      </c>
      <c r="J103" s="46" t="s">
        <v>91</v>
      </c>
      <c r="K103" s="360">
        <v>601</v>
      </c>
      <c r="L103">
        <v>367000</v>
      </c>
    </row>
    <row r="104" spans="1:12" ht="39" customHeight="1">
      <c r="A104" s="41"/>
      <c r="B104" s="93" t="s">
        <v>345</v>
      </c>
      <c r="C104" s="46" t="s">
        <v>270</v>
      </c>
      <c r="D104" s="46" t="s">
        <v>89</v>
      </c>
      <c r="E104" s="46" t="s">
        <v>23</v>
      </c>
      <c r="F104" s="46" t="s">
        <v>42</v>
      </c>
      <c r="G104" s="46" t="s">
        <v>195</v>
      </c>
      <c r="H104" s="46" t="s">
        <v>38</v>
      </c>
      <c r="I104" s="46" t="s">
        <v>16</v>
      </c>
      <c r="J104" s="46" t="s">
        <v>91</v>
      </c>
      <c r="K104" s="361">
        <v>599</v>
      </c>
      <c r="L104">
        <v>582000</v>
      </c>
    </row>
    <row r="105" spans="1:12" ht="27.75" customHeight="1">
      <c r="A105" s="41"/>
      <c r="B105" s="93" t="s">
        <v>351</v>
      </c>
      <c r="C105" s="46" t="s">
        <v>270</v>
      </c>
      <c r="D105" s="46" t="s">
        <v>89</v>
      </c>
      <c r="E105" s="46" t="s">
        <v>23</v>
      </c>
      <c r="F105" s="46" t="s">
        <v>42</v>
      </c>
      <c r="G105" s="46" t="s">
        <v>195</v>
      </c>
      <c r="H105" s="46" t="s">
        <v>38</v>
      </c>
      <c r="I105" s="46" t="s">
        <v>16</v>
      </c>
      <c r="J105" s="46" t="s">
        <v>91</v>
      </c>
      <c r="K105" s="361">
        <v>130</v>
      </c>
      <c r="L105">
        <v>125000</v>
      </c>
    </row>
    <row r="106" spans="1:11" ht="86.25" customHeight="1" hidden="1">
      <c r="A106" s="41"/>
      <c r="B106" s="401" t="s">
        <v>359</v>
      </c>
      <c r="C106" s="46" t="s">
        <v>270</v>
      </c>
      <c r="D106" s="46" t="s">
        <v>89</v>
      </c>
      <c r="E106" s="46" t="s">
        <v>23</v>
      </c>
      <c r="F106" s="46" t="s">
        <v>42</v>
      </c>
      <c r="G106" s="46" t="s">
        <v>195</v>
      </c>
      <c r="H106" s="46" t="s">
        <v>38</v>
      </c>
      <c r="I106" s="46" t="s">
        <v>16</v>
      </c>
      <c r="J106" s="46" t="s">
        <v>91</v>
      </c>
      <c r="K106" s="361">
        <v>0</v>
      </c>
    </row>
    <row r="107" spans="1:12" ht="134.25" customHeight="1">
      <c r="A107" s="41"/>
      <c r="B107" s="401" t="s">
        <v>358</v>
      </c>
      <c r="C107" s="46" t="s">
        <v>270</v>
      </c>
      <c r="D107" s="46" t="s">
        <v>89</v>
      </c>
      <c r="E107" s="46" t="s">
        <v>23</v>
      </c>
      <c r="F107" s="46" t="s">
        <v>42</v>
      </c>
      <c r="G107" s="46" t="s">
        <v>195</v>
      </c>
      <c r="H107" s="46" t="s">
        <v>38</v>
      </c>
      <c r="I107" s="46" t="s">
        <v>16</v>
      </c>
      <c r="J107" s="46" t="s">
        <v>91</v>
      </c>
      <c r="K107" s="361">
        <v>2921</v>
      </c>
      <c r="L107">
        <v>2258000</v>
      </c>
    </row>
    <row r="108" spans="1:12" ht="36">
      <c r="A108" s="41" t="s">
        <v>299</v>
      </c>
      <c r="B108" s="93" t="s">
        <v>247</v>
      </c>
      <c r="C108" s="46" t="s">
        <v>270</v>
      </c>
      <c r="D108" s="46" t="s">
        <v>89</v>
      </c>
      <c r="E108" s="46" t="s">
        <v>23</v>
      </c>
      <c r="F108" s="46" t="s">
        <v>42</v>
      </c>
      <c r="G108" s="46" t="s">
        <v>322</v>
      </c>
      <c r="H108" s="46" t="s">
        <v>38</v>
      </c>
      <c r="I108" s="46" t="s">
        <v>16</v>
      </c>
      <c r="J108" s="46" t="s">
        <v>91</v>
      </c>
      <c r="K108" s="361">
        <v>846</v>
      </c>
      <c r="L108">
        <v>846000</v>
      </c>
    </row>
    <row r="109" spans="1:12" ht="36">
      <c r="A109" s="41" t="s">
        <v>300</v>
      </c>
      <c r="B109" s="93" t="s">
        <v>375</v>
      </c>
      <c r="C109" s="46" t="s">
        <v>270</v>
      </c>
      <c r="D109" s="46" t="s">
        <v>89</v>
      </c>
      <c r="E109" s="46" t="s">
        <v>23</v>
      </c>
      <c r="F109" s="46" t="s">
        <v>42</v>
      </c>
      <c r="G109" s="46" t="s">
        <v>374</v>
      </c>
      <c r="H109" s="46" t="s">
        <v>38</v>
      </c>
      <c r="I109" s="46" t="s">
        <v>16</v>
      </c>
      <c r="J109" s="46" t="s">
        <v>91</v>
      </c>
      <c r="K109" s="361">
        <v>17288</v>
      </c>
      <c r="L109">
        <v>14957000</v>
      </c>
    </row>
    <row r="110" spans="1:12" ht="48">
      <c r="A110" s="41" t="s">
        <v>303</v>
      </c>
      <c r="B110" s="93" t="s">
        <v>280</v>
      </c>
      <c r="C110" s="46" t="s">
        <v>270</v>
      </c>
      <c r="D110" s="46" t="s">
        <v>89</v>
      </c>
      <c r="E110" s="46" t="s">
        <v>23</v>
      </c>
      <c r="F110" s="46" t="s">
        <v>42</v>
      </c>
      <c r="G110" s="46" t="s">
        <v>324</v>
      </c>
      <c r="H110" s="46" t="s">
        <v>38</v>
      </c>
      <c r="I110" s="46" t="s">
        <v>16</v>
      </c>
      <c r="J110" s="46" t="s">
        <v>91</v>
      </c>
      <c r="K110" s="361">
        <v>4190</v>
      </c>
      <c r="L110">
        <v>3507000</v>
      </c>
    </row>
    <row r="111" spans="1:12" ht="36">
      <c r="A111" s="41" t="s">
        <v>302</v>
      </c>
      <c r="B111" s="93" t="s">
        <v>255</v>
      </c>
      <c r="C111" s="46" t="s">
        <v>270</v>
      </c>
      <c r="D111" s="46" t="s">
        <v>89</v>
      </c>
      <c r="E111" s="46" t="s">
        <v>23</v>
      </c>
      <c r="F111" s="46" t="s">
        <v>42</v>
      </c>
      <c r="G111" s="46" t="s">
        <v>200</v>
      </c>
      <c r="H111" s="46" t="s">
        <v>38</v>
      </c>
      <c r="I111" s="46" t="s">
        <v>16</v>
      </c>
      <c r="J111" s="46" t="s">
        <v>91</v>
      </c>
      <c r="K111" s="361">
        <v>3098</v>
      </c>
      <c r="L111">
        <v>2671000</v>
      </c>
    </row>
    <row r="112" spans="1:12" ht="48">
      <c r="A112" s="41" t="s">
        <v>305</v>
      </c>
      <c r="B112" s="93" t="s">
        <v>367</v>
      </c>
      <c r="C112" s="46" t="s">
        <v>270</v>
      </c>
      <c r="D112" s="46" t="s">
        <v>89</v>
      </c>
      <c r="E112" s="46" t="s">
        <v>23</v>
      </c>
      <c r="F112" s="46" t="s">
        <v>77</v>
      </c>
      <c r="G112" s="46" t="s">
        <v>66</v>
      </c>
      <c r="H112" s="46" t="s">
        <v>38</v>
      </c>
      <c r="I112" s="46" t="s">
        <v>16</v>
      </c>
      <c r="J112" s="46" t="s">
        <v>91</v>
      </c>
      <c r="K112" s="252">
        <f>K113+K114</f>
        <v>500</v>
      </c>
      <c r="L112" s="251">
        <f>L113+L114</f>
        <v>2744800</v>
      </c>
    </row>
    <row r="113" spans="1:12" ht="12.75" hidden="1">
      <c r="A113" s="41"/>
      <c r="B113" s="93" t="s">
        <v>331</v>
      </c>
      <c r="C113" s="46" t="s">
        <v>270</v>
      </c>
      <c r="D113" s="46" t="s">
        <v>89</v>
      </c>
      <c r="E113" s="46" t="s">
        <v>23</v>
      </c>
      <c r="F113" s="46" t="s">
        <v>77</v>
      </c>
      <c r="G113" s="46" t="s">
        <v>66</v>
      </c>
      <c r="H113" s="46" t="s">
        <v>38</v>
      </c>
      <c r="I113" s="46" t="s">
        <v>16</v>
      </c>
      <c r="J113" s="46" t="s">
        <v>91</v>
      </c>
      <c r="K113" s="251">
        <v>100</v>
      </c>
      <c r="L113">
        <v>648000</v>
      </c>
    </row>
    <row r="114" spans="1:12" ht="24" hidden="1">
      <c r="A114" s="41"/>
      <c r="B114" s="93" t="s">
        <v>332</v>
      </c>
      <c r="C114" s="46" t="s">
        <v>270</v>
      </c>
      <c r="D114" s="46" t="s">
        <v>89</v>
      </c>
      <c r="E114" s="46" t="s">
        <v>23</v>
      </c>
      <c r="F114" s="46" t="s">
        <v>77</v>
      </c>
      <c r="G114" s="46" t="s">
        <v>66</v>
      </c>
      <c r="H114" s="46" t="s">
        <v>38</v>
      </c>
      <c r="I114" s="46" t="s">
        <v>16</v>
      </c>
      <c r="J114" s="46" t="s">
        <v>91</v>
      </c>
      <c r="K114" s="251">
        <v>400</v>
      </c>
      <c r="L114">
        <v>2096800</v>
      </c>
    </row>
    <row r="115" spans="1:12" ht="36" hidden="1">
      <c r="A115" s="41"/>
      <c r="B115" s="93" t="s">
        <v>378</v>
      </c>
      <c r="C115" s="46" t="s">
        <v>270</v>
      </c>
      <c r="D115" s="46" t="s">
        <v>89</v>
      </c>
      <c r="E115" s="46" t="s">
        <v>23</v>
      </c>
      <c r="F115" s="46" t="s">
        <v>77</v>
      </c>
      <c r="G115" s="46" t="s">
        <v>266</v>
      </c>
      <c r="H115" s="46" t="s">
        <v>38</v>
      </c>
      <c r="I115" s="46" t="s">
        <v>16</v>
      </c>
      <c r="J115" s="46" t="s">
        <v>91</v>
      </c>
      <c r="K115" s="251"/>
      <c r="L115">
        <v>69000</v>
      </c>
    </row>
    <row r="116" spans="1:12" ht="72" hidden="1">
      <c r="A116" s="41"/>
      <c r="B116" s="135" t="s">
        <v>363</v>
      </c>
      <c r="C116" s="371" t="s">
        <v>270</v>
      </c>
      <c r="D116" s="371" t="s">
        <v>89</v>
      </c>
      <c r="E116" s="371" t="s">
        <v>23</v>
      </c>
      <c r="F116" s="371" t="s">
        <v>58</v>
      </c>
      <c r="G116" s="371" t="s">
        <v>364</v>
      </c>
      <c r="H116" s="371" t="s">
        <v>38</v>
      </c>
      <c r="I116" s="371" t="s">
        <v>16</v>
      </c>
      <c r="J116" s="371" t="s">
        <v>91</v>
      </c>
      <c r="K116" s="361"/>
      <c r="L116">
        <v>3373326</v>
      </c>
    </row>
    <row r="117" spans="1:12" ht="17.25" customHeight="1">
      <c r="A117" s="325"/>
      <c r="B117" s="135" t="s">
        <v>353</v>
      </c>
      <c r="C117" s="69" t="s">
        <v>14</v>
      </c>
      <c r="D117" s="69" t="s">
        <v>89</v>
      </c>
      <c r="E117" s="69" t="s">
        <v>55</v>
      </c>
      <c r="F117" s="69" t="s">
        <v>38</v>
      </c>
      <c r="G117" s="69" t="s">
        <v>14</v>
      </c>
      <c r="H117" s="69" t="s">
        <v>38</v>
      </c>
      <c r="I117" s="69" t="s">
        <v>16</v>
      </c>
      <c r="J117" s="69" t="s">
        <v>86</v>
      </c>
      <c r="K117" s="249">
        <v>1130</v>
      </c>
      <c r="L117">
        <f>1839000+50000</f>
        <v>1889000</v>
      </c>
    </row>
    <row r="118" spans="1:12" ht="12.75">
      <c r="A118" s="333"/>
      <c r="B118" s="330" t="s">
        <v>104</v>
      </c>
      <c r="C118" s="44"/>
      <c r="D118" s="44"/>
      <c r="E118" s="44"/>
      <c r="F118" s="44"/>
      <c r="G118" s="44"/>
      <c r="H118" s="44"/>
      <c r="I118" s="44"/>
      <c r="J118" s="44"/>
      <c r="K118" s="427">
        <f>K22+K67</f>
        <v>349683.2</v>
      </c>
      <c r="L118" s="422">
        <f>L22+L67</f>
        <v>430043895.58</v>
      </c>
    </row>
  </sheetData>
  <mergeCells count="6">
    <mergeCell ref="C15:J19"/>
    <mergeCell ref="C20:J20"/>
    <mergeCell ref="G3:K3"/>
    <mergeCell ref="G4:K6"/>
    <mergeCell ref="B12:K12"/>
    <mergeCell ref="A11:K11"/>
  </mergeCells>
  <printOptions/>
  <pageMargins left="0.75" right="0.23" top="0.51" bottom="0.23" header="0.5" footer="0.23"/>
  <pageSetup horizontalDpi="600" verticalDpi="600" orientation="portrait" paperSize="9" scale="70" r:id="rId1"/>
  <rowBreaks count="1" manualBreakCount="1">
    <brk id="6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2"/>
  <sheetViews>
    <sheetView workbookViewId="0" topLeftCell="A12">
      <selection activeCell="X44" sqref="X44"/>
    </sheetView>
  </sheetViews>
  <sheetFormatPr defaultColWidth="9.00390625" defaultRowHeight="12.75"/>
  <cols>
    <col min="1" max="1" width="0.12890625" style="0" customWidth="1"/>
    <col min="2" max="2" width="55.375" style="358" customWidth="1"/>
    <col min="3" max="3" width="3.875" style="0" hidden="1" customWidth="1"/>
    <col min="4" max="4" width="2.75390625" style="0" hidden="1" customWidth="1"/>
    <col min="5" max="5" width="3.125" style="0" hidden="1" customWidth="1"/>
    <col min="6" max="6" width="3.25390625" style="0" hidden="1" customWidth="1"/>
    <col min="7" max="7" width="4.00390625" style="0" hidden="1" customWidth="1"/>
    <col min="8" max="8" width="4.125" style="0" hidden="1" customWidth="1"/>
    <col min="9" max="9" width="4.875" style="0" hidden="1" customWidth="1"/>
    <col min="10" max="10" width="4.625" style="0" hidden="1" customWidth="1"/>
    <col min="11" max="11" width="9.375" style="377" customWidth="1"/>
    <col min="12" max="21" width="0" style="377" hidden="1" customWidth="1"/>
    <col min="22" max="22" width="10.875" style="377" hidden="1" customWidth="1"/>
    <col min="23" max="23" width="0" style="377" hidden="1" customWidth="1"/>
    <col min="24" max="24" width="10.125" style="0" customWidth="1"/>
    <col min="25" max="25" width="11.125" style="0" customWidth="1"/>
  </cols>
  <sheetData>
    <row r="1" spans="1:26" ht="12" customHeight="1" hidden="1">
      <c r="A1" s="1"/>
      <c r="B1" s="362"/>
      <c r="C1" s="408"/>
      <c r="D1" s="408"/>
      <c r="E1" s="408"/>
      <c r="F1" s="408"/>
      <c r="G1" s="408"/>
      <c r="H1" s="408"/>
      <c r="I1" s="408"/>
      <c r="J1" s="408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358"/>
      <c r="Y1" s="358"/>
      <c r="Z1" s="358"/>
    </row>
    <row r="2" spans="1:26" ht="12" customHeight="1" hidden="1">
      <c r="A2" s="1"/>
      <c r="B2" s="362"/>
      <c r="C2" s="408"/>
      <c r="D2" s="408"/>
      <c r="E2" s="408"/>
      <c r="F2" s="408"/>
      <c r="G2" s="408"/>
      <c r="H2" s="408"/>
      <c r="I2" s="408"/>
      <c r="J2" s="408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358"/>
      <c r="Y2" s="358"/>
      <c r="Z2" s="358"/>
    </row>
    <row r="3" spans="1:26" ht="16.5" customHeight="1" hidden="1">
      <c r="A3" s="1"/>
      <c r="B3" s="362"/>
      <c r="C3" s="408"/>
      <c r="D3" s="408"/>
      <c r="E3" s="408"/>
      <c r="F3" s="408"/>
      <c r="G3" s="451" t="s">
        <v>269</v>
      </c>
      <c r="H3" s="452"/>
      <c r="I3" s="452"/>
      <c r="J3" s="452"/>
      <c r="K3" s="452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358"/>
      <c r="Y3" s="358"/>
      <c r="Z3" s="358"/>
    </row>
    <row r="4" spans="1:26" ht="48" customHeight="1" hidden="1">
      <c r="A4" s="1"/>
      <c r="B4" s="362"/>
      <c r="C4" s="408"/>
      <c r="D4" s="408"/>
      <c r="E4" s="408"/>
      <c r="F4" s="408"/>
      <c r="G4" s="450" t="s">
        <v>356</v>
      </c>
      <c r="H4" s="452"/>
      <c r="I4" s="452"/>
      <c r="J4" s="452"/>
      <c r="K4" s="452"/>
      <c r="L4" s="418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358"/>
      <c r="Y4" s="358"/>
      <c r="Z4" s="358"/>
    </row>
    <row r="5" spans="1:26" ht="13.5" customHeight="1" hidden="1">
      <c r="A5" s="1"/>
      <c r="B5" s="362"/>
      <c r="C5" s="408"/>
      <c r="D5" s="408"/>
      <c r="E5" s="408"/>
      <c r="F5" s="408"/>
      <c r="G5" s="452"/>
      <c r="H5" s="452"/>
      <c r="I5" s="452"/>
      <c r="J5" s="452"/>
      <c r="K5" s="452"/>
      <c r="L5" s="418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358"/>
      <c r="Y5" s="358"/>
      <c r="Z5" s="358"/>
    </row>
    <row r="6" spans="1:26" ht="15.75" customHeight="1" hidden="1">
      <c r="A6" s="1"/>
      <c r="B6" s="362"/>
      <c r="C6" s="408"/>
      <c r="D6" s="408"/>
      <c r="E6" s="408"/>
      <c r="F6" s="408"/>
      <c r="G6" s="452"/>
      <c r="H6" s="452"/>
      <c r="I6" s="452"/>
      <c r="J6" s="452"/>
      <c r="K6" s="452"/>
      <c r="L6" s="418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358"/>
      <c r="Y6" s="358"/>
      <c r="Z6" s="358"/>
    </row>
    <row r="7" spans="1:26" ht="14.25" customHeight="1" hidden="1">
      <c r="A7" s="1"/>
      <c r="B7" s="362"/>
      <c r="C7" s="408"/>
      <c r="D7" s="408"/>
      <c r="E7" s="408"/>
      <c r="F7" s="408"/>
      <c r="G7" s="408"/>
      <c r="H7" s="417"/>
      <c r="I7" s="417"/>
      <c r="J7" s="417"/>
      <c r="K7" s="418"/>
      <c r="L7" s="418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358"/>
      <c r="Y7" s="358"/>
      <c r="Z7" s="358"/>
    </row>
    <row r="8" spans="1:26" ht="13.5" customHeight="1" hidden="1">
      <c r="A8" s="1"/>
      <c r="B8" s="362"/>
      <c r="C8" s="408"/>
      <c r="D8" s="408"/>
      <c r="E8" s="408"/>
      <c r="F8" s="408"/>
      <c r="G8" s="408"/>
      <c r="H8" s="417"/>
      <c r="I8" s="417"/>
      <c r="J8" s="417"/>
      <c r="K8" s="418"/>
      <c r="L8" s="418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358"/>
      <c r="Y8" s="358"/>
      <c r="Z8" s="358"/>
    </row>
    <row r="9" spans="1:26" ht="12" customHeight="1" hidden="1">
      <c r="A9" s="1"/>
      <c r="B9" s="362"/>
      <c r="C9" s="408"/>
      <c r="D9" s="408"/>
      <c r="E9" s="408"/>
      <c r="F9" s="408"/>
      <c r="G9" s="408"/>
      <c r="H9" s="417"/>
      <c r="I9" s="417"/>
      <c r="J9" s="417"/>
      <c r="K9" s="418"/>
      <c r="L9" s="418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358"/>
      <c r="Y9" s="358"/>
      <c r="Z9" s="358"/>
    </row>
    <row r="10" spans="1:26" ht="20.25" customHeight="1" hidden="1">
      <c r="A10" s="1"/>
      <c r="B10" s="362"/>
      <c r="C10" s="408"/>
      <c r="D10" s="408"/>
      <c r="E10" s="408"/>
      <c r="F10" s="408"/>
      <c r="G10" s="408"/>
      <c r="H10" s="417"/>
      <c r="I10" s="417"/>
      <c r="J10" s="417"/>
      <c r="K10" s="418"/>
      <c r="L10" s="418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358"/>
      <c r="Y10" s="358"/>
      <c r="Z10" s="358"/>
    </row>
    <row r="11" spans="1:26" ht="12.75">
      <c r="A11" s="407" t="s">
        <v>329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11" ht="12.75">
      <c r="A12" s="36"/>
      <c r="B12" s="407" t="s">
        <v>357</v>
      </c>
      <c r="C12" s="407"/>
      <c r="D12" s="407"/>
      <c r="E12" s="407"/>
      <c r="F12" s="407"/>
      <c r="G12" s="407"/>
      <c r="H12" s="407"/>
      <c r="I12" s="407"/>
      <c r="J12" s="407"/>
      <c r="K12" s="407"/>
    </row>
    <row r="13" spans="1:11" ht="13.5" thickBot="1">
      <c r="A13" s="1"/>
      <c r="B13" s="36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hidden="1" thickBot="1">
      <c r="A14" s="1"/>
      <c r="B14" s="362"/>
      <c r="C14" s="1"/>
      <c r="D14" s="1"/>
      <c r="E14" s="1"/>
      <c r="F14" s="1"/>
      <c r="G14" s="1"/>
      <c r="H14" s="1"/>
      <c r="I14" s="1"/>
      <c r="J14" s="1"/>
      <c r="K14" s="379"/>
    </row>
    <row r="15" spans="1:25" ht="12.75">
      <c r="A15" s="4"/>
      <c r="B15" s="364"/>
      <c r="C15" s="439" t="s">
        <v>0</v>
      </c>
      <c r="D15" s="440"/>
      <c r="E15" s="440"/>
      <c r="F15" s="440"/>
      <c r="G15" s="440"/>
      <c r="H15" s="440"/>
      <c r="I15" s="440"/>
      <c r="J15" s="441"/>
      <c r="K15" s="376"/>
      <c r="L15" s="380"/>
      <c r="M15" s="381"/>
      <c r="N15" s="381"/>
      <c r="O15" s="382"/>
      <c r="V15" s="383"/>
      <c r="W15" s="414"/>
      <c r="X15" s="184"/>
      <c r="Y15" s="184"/>
    </row>
    <row r="16" spans="1:25" ht="12.75">
      <c r="A16" s="7"/>
      <c r="B16" s="365"/>
      <c r="C16" s="442"/>
      <c r="D16" s="443"/>
      <c r="E16" s="443"/>
      <c r="F16" s="443"/>
      <c r="G16" s="443"/>
      <c r="H16" s="443"/>
      <c r="I16" s="443"/>
      <c r="J16" s="444"/>
      <c r="K16" s="9"/>
      <c r="L16" s="384"/>
      <c r="M16" s="385"/>
      <c r="N16" s="385"/>
      <c r="O16" s="386"/>
      <c r="V16" s="387" t="s">
        <v>340</v>
      </c>
      <c r="W16" s="415" t="s">
        <v>343</v>
      </c>
      <c r="X16" s="184"/>
      <c r="Y16" s="184"/>
    </row>
    <row r="17" spans="1:25" ht="12.75">
      <c r="A17" s="7"/>
      <c r="B17" s="365" t="s">
        <v>1</v>
      </c>
      <c r="C17" s="442"/>
      <c r="D17" s="443"/>
      <c r="E17" s="443"/>
      <c r="F17" s="443"/>
      <c r="G17" s="443"/>
      <c r="H17" s="443"/>
      <c r="I17" s="443"/>
      <c r="J17" s="444"/>
      <c r="K17" s="9" t="s">
        <v>346</v>
      </c>
      <c r="L17" s="384" t="s">
        <v>181</v>
      </c>
      <c r="M17" s="385"/>
      <c r="N17" s="385"/>
      <c r="O17" s="386"/>
      <c r="V17" s="387" t="s">
        <v>341</v>
      </c>
      <c r="W17" s="415"/>
      <c r="X17" s="184"/>
      <c r="Y17" s="184"/>
    </row>
    <row r="18" spans="1:25" ht="38.25">
      <c r="A18" s="7"/>
      <c r="B18" s="365"/>
      <c r="C18" s="442"/>
      <c r="D18" s="443"/>
      <c r="E18" s="443"/>
      <c r="F18" s="443"/>
      <c r="G18" s="443"/>
      <c r="H18" s="443"/>
      <c r="I18" s="443"/>
      <c r="J18" s="444"/>
      <c r="K18" s="9" t="s">
        <v>315</v>
      </c>
      <c r="L18" s="384"/>
      <c r="M18" s="385"/>
      <c r="N18" s="385"/>
      <c r="O18" s="386"/>
      <c r="V18" s="387" t="s">
        <v>342</v>
      </c>
      <c r="W18" s="415" t="s">
        <v>344</v>
      </c>
      <c r="X18" s="184" t="s">
        <v>368</v>
      </c>
      <c r="Y18" s="406" t="s">
        <v>369</v>
      </c>
    </row>
    <row r="19" spans="1:25" ht="13.5" thickBot="1">
      <c r="A19" s="7"/>
      <c r="B19" s="366"/>
      <c r="C19" s="445"/>
      <c r="D19" s="446"/>
      <c r="E19" s="446"/>
      <c r="F19" s="446"/>
      <c r="G19" s="446"/>
      <c r="H19" s="446"/>
      <c r="I19" s="446"/>
      <c r="J19" s="447"/>
      <c r="K19" s="9"/>
      <c r="L19" s="388"/>
      <c r="M19" s="389"/>
      <c r="N19" s="389"/>
      <c r="O19" s="390"/>
      <c r="V19" s="387"/>
      <c r="W19" s="415"/>
      <c r="X19" s="184"/>
      <c r="Y19" s="184"/>
    </row>
    <row r="20" spans="1:25" ht="12.75" customHeight="1" thickBot="1">
      <c r="A20" s="12">
        <v>1</v>
      </c>
      <c r="B20" s="364">
        <v>2</v>
      </c>
      <c r="C20" s="431"/>
      <c r="D20" s="431"/>
      <c r="E20" s="431"/>
      <c r="F20" s="431"/>
      <c r="G20" s="431"/>
      <c r="H20" s="431"/>
      <c r="I20" s="431"/>
      <c r="J20" s="432"/>
      <c r="K20" s="13">
        <v>4</v>
      </c>
      <c r="L20" s="391">
        <v>5</v>
      </c>
      <c r="M20" s="391">
        <v>6</v>
      </c>
      <c r="N20" s="391">
        <v>7</v>
      </c>
      <c r="O20" s="391">
        <v>8</v>
      </c>
      <c r="V20" s="392"/>
      <c r="W20" s="405"/>
      <c r="X20" s="184"/>
      <c r="Y20" s="184"/>
    </row>
    <row r="21" spans="1:15" ht="1.5" customHeight="1">
      <c r="A21" s="317"/>
      <c r="B21" s="318"/>
      <c r="C21" s="318" t="s">
        <v>4</v>
      </c>
      <c r="D21" s="318" t="s">
        <v>5</v>
      </c>
      <c r="E21" s="318" t="s">
        <v>6</v>
      </c>
      <c r="F21" s="318" t="s">
        <v>7</v>
      </c>
      <c r="G21" s="318" t="s">
        <v>8</v>
      </c>
      <c r="H21" s="318" t="s">
        <v>9</v>
      </c>
      <c r="I21" s="318" t="s">
        <v>10</v>
      </c>
      <c r="J21" s="318" t="s">
        <v>11</v>
      </c>
      <c r="K21" s="319"/>
      <c r="L21" s="391" t="s">
        <v>177</v>
      </c>
      <c r="M21" s="391" t="s">
        <v>178</v>
      </c>
      <c r="N21" s="391" t="s">
        <v>179</v>
      </c>
      <c r="O21" s="391" t="s">
        <v>180</v>
      </c>
    </row>
    <row r="22" spans="1:25" ht="12.75" hidden="1">
      <c r="A22" s="320" t="s">
        <v>12</v>
      </c>
      <c r="B22" s="367" t="s">
        <v>13</v>
      </c>
      <c r="C22" s="44" t="s">
        <v>14</v>
      </c>
      <c r="D22" s="44">
        <v>1</v>
      </c>
      <c r="E22" s="44" t="s">
        <v>15</v>
      </c>
      <c r="F22" s="44" t="s">
        <v>15</v>
      </c>
      <c r="G22" s="44" t="s">
        <v>14</v>
      </c>
      <c r="H22" s="44" t="s">
        <v>15</v>
      </c>
      <c r="I22" s="44" t="s">
        <v>16</v>
      </c>
      <c r="J22" s="44" t="s">
        <v>14</v>
      </c>
      <c r="K22" s="233">
        <f>K23+K30+K37+K41+K48+K50+K51+K52+K55</f>
        <v>91807.2</v>
      </c>
      <c r="L22" s="233">
        <f aca="true" t="shared" si="0" ref="L22:W22">L23+L30+L37+L41+L48+L50+L52+L55+L63</f>
        <v>3928.1</v>
      </c>
      <c r="M22" s="233">
        <f t="shared" si="0"/>
        <v>3928.1</v>
      </c>
      <c r="N22" s="233">
        <f t="shared" si="0"/>
        <v>3928.1</v>
      </c>
      <c r="O22" s="233">
        <f t="shared" si="0"/>
        <v>3928.3</v>
      </c>
      <c r="P22" s="233">
        <f t="shared" si="0"/>
        <v>15712.6</v>
      </c>
      <c r="Q22" s="233">
        <f t="shared" si="0"/>
        <v>6600</v>
      </c>
      <c r="R22" s="233">
        <f t="shared" si="0"/>
        <v>0</v>
      </c>
      <c r="S22" s="233">
        <f t="shared" si="0"/>
        <v>0</v>
      </c>
      <c r="T22" s="233">
        <f t="shared" si="0"/>
        <v>0</v>
      </c>
      <c r="U22" s="233">
        <f t="shared" si="0"/>
        <v>0</v>
      </c>
      <c r="V22" s="233">
        <f t="shared" si="0"/>
        <v>64957</v>
      </c>
      <c r="W22" s="233">
        <f t="shared" si="0"/>
        <v>61270</v>
      </c>
      <c r="X22">
        <v>540</v>
      </c>
      <c r="Y22" s="409">
        <f>K22+X22</f>
        <v>92347.2</v>
      </c>
    </row>
    <row r="23" spans="1:23" ht="12.75" hidden="1">
      <c r="A23" s="320" t="s">
        <v>17</v>
      </c>
      <c r="B23" s="105" t="s">
        <v>18</v>
      </c>
      <c r="C23" s="44" t="s">
        <v>14</v>
      </c>
      <c r="D23" s="44" t="s">
        <v>19</v>
      </c>
      <c r="E23" s="44" t="s">
        <v>20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49">
        <f>K24</f>
        <v>42824</v>
      </c>
      <c r="L23" s="249">
        <f aca="true" t="shared" si="1" ref="L23:W23">L24</f>
        <v>0</v>
      </c>
      <c r="M23" s="249">
        <f t="shared" si="1"/>
        <v>0</v>
      </c>
      <c r="N23" s="249">
        <f t="shared" si="1"/>
        <v>0</v>
      </c>
      <c r="O23" s="249">
        <f t="shared" si="1"/>
        <v>0</v>
      </c>
      <c r="P23" s="249">
        <f t="shared" si="1"/>
        <v>0</v>
      </c>
      <c r="Q23" s="249">
        <f t="shared" si="1"/>
        <v>0</v>
      </c>
      <c r="R23" s="249">
        <f t="shared" si="1"/>
        <v>0</v>
      </c>
      <c r="S23" s="249">
        <f t="shared" si="1"/>
        <v>0</v>
      </c>
      <c r="T23" s="249">
        <f t="shared" si="1"/>
        <v>0</v>
      </c>
      <c r="U23" s="249">
        <f t="shared" si="1"/>
        <v>0</v>
      </c>
      <c r="V23" s="249">
        <f t="shared" si="1"/>
        <v>41801</v>
      </c>
      <c r="W23" s="249">
        <f t="shared" si="1"/>
        <v>35575</v>
      </c>
    </row>
    <row r="24" spans="1:23" ht="12.75" customHeight="1" hidden="1">
      <c r="A24" s="320" t="s">
        <v>21</v>
      </c>
      <c r="B24" s="105" t="s">
        <v>22</v>
      </c>
      <c r="C24" s="44" t="s">
        <v>26</v>
      </c>
      <c r="D24" s="44" t="s">
        <v>19</v>
      </c>
      <c r="E24" s="44" t="s">
        <v>20</v>
      </c>
      <c r="F24" s="44" t="s">
        <v>23</v>
      </c>
      <c r="G24" s="44" t="s">
        <v>14</v>
      </c>
      <c r="H24" s="44" t="s">
        <v>20</v>
      </c>
      <c r="I24" s="44" t="s">
        <v>16</v>
      </c>
      <c r="J24" s="44" t="s">
        <v>24</v>
      </c>
      <c r="K24" s="249">
        <f>K26</f>
        <v>42824</v>
      </c>
      <c r="L24" s="249">
        <f aca="true" t="shared" si="2" ref="L24:W24">L26</f>
        <v>0</v>
      </c>
      <c r="M24" s="249">
        <f t="shared" si="2"/>
        <v>0</v>
      </c>
      <c r="N24" s="249">
        <f t="shared" si="2"/>
        <v>0</v>
      </c>
      <c r="O24" s="249">
        <f t="shared" si="2"/>
        <v>0</v>
      </c>
      <c r="P24" s="249">
        <f t="shared" si="2"/>
        <v>0</v>
      </c>
      <c r="Q24" s="249">
        <f t="shared" si="2"/>
        <v>0</v>
      </c>
      <c r="R24" s="249">
        <f t="shared" si="2"/>
        <v>0</v>
      </c>
      <c r="S24" s="249">
        <f t="shared" si="2"/>
        <v>0</v>
      </c>
      <c r="T24" s="249">
        <f t="shared" si="2"/>
        <v>0</v>
      </c>
      <c r="U24" s="249">
        <f t="shared" si="2"/>
        <v>0</v>
      </c>
      <c r="V24" s="249">
        <f t="shared" si="2"/>
        <v>41801</v>
      </c>
      <c r="W24" s="249">
        <f t="shared" si="2"/>
        <v>35575</v>
      </c>
    </row>
    <row r="25" spans="1:23" ht="0.75" customHeight="1">
      <c r="A25" s="320"/>
      <c r="B25" s="74" t="s">
        <v>25</v>
      </c>
      <c r="C25" s="46" t="s">
        <v>26</v>
      </c>
      <c r="D25" s="46" t="s">
        <v>19</v>
      </c>
      <c r="E25" s="46" t="s">
        <v>20</v>
      </c>
      <c r="F25" s="46" t="s">
        <v>23</v>
      </c>
      <c r="G25" s="46" t="s">
        <v>27</v>
      </c>
      <c r="H25" s="46" t="s">
        <v>20</v>
      </c>
      <c r="I25" s="46" t="s">
        <v>16</v>
      </c>
      <c r="J25" s="46" t="s">
        <v>24</v>
      </c>
      <c r="K25" s="64"/>
      <c r="L25" s="391"/>
      <c r="M25" s="391"/>
      <c r="N25" s="391"/>
      <c r="O25" s="391"/>
      <c r="P25" s="391">
        <f aca="true" t="shared" si="3" ref="P25:P53">L25+M25+N25+O25</f>
        <v>0</v>
      </c>
      <c r="Q25" s="391"/>
      <c r="R25" s="391"/>
      <c r="S25" s="391"/>
      <c r="T25" s="391"/>
      <c r="U25" s="391"/>
      <c r="V25" s="391"/>
      <c r="W25" s="391"/>
    </row>
    <row r="26" spans="1:23" ht="39" customHeight="1" hidden="1">
      <c r="A26" s="77"/>
      <c r="B26" s="74" t="s">
        <v>28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29</v>
      </c>
      <c r="H26" s="46" t="s">
        <v>20</v>
      </c>
      <c r="I26" s="46" t="s">
        <v>16</v>
      </c>
      <c r="J26" s="46" t="s">
        <v>24</v>
      </c>
      <c r="K26" s="64">
        <f>K27+K28</f>
        <v>42824</v>
      </c>
      <c r="L26" s="64">
        <f aca="true" t="shared" si="4" ref="L26:V26">L27+L28</f>
        <v>0</v>
      </c>
      <c r="M26" s="64">
        <f t="shared" si="4"/>
        <v>0</v>
      </c>
      <c r="N26" s="64">
        <f t="shared" si="4"/>
        <v>0</v>
      </c>
      <c r="O26" s="64">
        <f t="shared" si="4"/>
        <v>0</v>
      </c>
      <c r="P26" s="64">
        <f t="shared" si="4"/>
        <v>0</v>
      </c>
      <c r="Q26" s="64">
        <f t="shared" si="4"/>
        <v>0</v>
      </c>
      <c r="R26" s="64">
        <f t="shared" si="4"/>
        <v>0</v>
      </c>
      <c r="S26" s="64">
        <f t="shared" si="4"/>
        <v>0</v>
      </c>
      <c r="T26" s="64">
        <f t="shared" si="4"/>
        <v>0</v>
      </c>
      <c r="U26" s="64">
        <f t="shared" si="4"/>
        <v>0</v>
      </c>
      <c r="V26" s="64">
        <f t="shared" si="4"/>
        <v>41801</v>
      </c>
      <c r="W26" s="64">
        <f>W27+W28</f>
        <v>35575</v>
      </c>
    </row>
    <row r="27" spans="1:23" ht="71.25" customHeight="1" hidden="1">
      <c r="A27" s="77"/>
      <c r="B27" s="74" t="s">
        <v>30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31</v>
      </c>
      <c r="H27" s="46" t="s">
        <v>20</v>
      </c>
      <c r="I27" s="46" t="s">
        <v>16</v>
      </c>
      <c r="J27" s="46" t="s">
        <v>24</v>
      </c>
      <c r="K27" s="64">
        <f>42558+66</f>
        <v>42624</v>
      </c>
      <c r="L27" s="391"/>
      <c r="M27" s="391"/>
      <c r="N27" s="391"/>
      <c r="O27" s="391"/>
      <c r="P27" s="391">
        <f t="shared" si="3"/>
        <v>0</v>
      </c>
      <c r="Q27" s="391"/>
      <c r="R27" s="391"/>
      <c r="S27" s="391"/>
      <c r="T27" s="391"/>
      <c r="U27" s="391"/>
      <c r="V27" s="391">
        <v>41481</v>
      </c>
      <c r="W27" s="391">
        <v>35405</v>
      </c>
    </row>
    <row r="28" spans="1:23" ht="62.25" customHeight="1" hidden="1">
      <c r="A28" s="77"/>
      <c r="B28" s="74" t="s">
        <v>32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33</v>
      </c>
      <c r="H28" s="46" t="s">
        <v>20</v>
      </c>
      <c r="I28" s="46" t="s">
        <v>16</v>
      </c>
      <c r="J28" s="46" t="s">
        <v>24</v>
      </c>
      <c r="K28" s="64">
        <v>200</v>
      </c>
      <c r="L28" s="391"/>
      <c r="M28" s="391"/>
      <c r="N28" s="391"/>
      <c r="O28" s="391"/>
      <c r="P28" s="391">
        <f t="shared" si="3"/>
        <v>0</v>
      </c>
      <c r="Q28" s="391"/>
      <c r="R28" s="391"/>
      <c r="S28" s="391"/>
      <c r="T28" s="391"/>
      <c r="U28" s="391"/>
      <c r="V28" s="391">
        <v>320</v>
      </c>
      <c r="W28" s="391">
        <v>170</v>
      </c>
    </row>
    <row r="29" spans="1:23" ht="0.75" customHeight="1" hidden="1">
      <c r="A29" s="77"/>
      <c r="B29" s="74" t="s">
        <v>34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35</v>
      </c>
      <c r="H29" s="46" t="s">
        <v>20</v>
      </c>
      <c r="I29" s="46" t="s">
        <v>16</v>
      </c>
      <c r="J29" s="46" t="s">
        <v>24</v>
      </c>
      <c r="K29" s="64"/>
      <c r="L29" s="391"/>
      <c r="M29" s="391"/>
      <c r="N29" s="391"/>
      <c r="O29" s="391"/>
      <c r="P29" s="391">
        <f t="shared" si="3"/>
        <v>0</v>
      </c>
      <c r="Q29" s="391"/>
      <c r="R29" s="391"/>
      <c r="S29" s="391"/>
      <c r="T29" s="391"/>
      <c r="U29" s="391"/>
      <c r="V29" s="391"/>
      <c r="W29" s="391"/>
    </row>
    <row r="30" spans="1:23" ht="12.75" hidden="1">
      <c r="A30" s="320" t="s">
        <v>36</v>
      </c>
      <c r="B30" s="368" t="s">
        <v>37</v>
      </c>
      <c r="C30" s="44" t="s">
        <v>14</v>
      </c>
      <c r="D30" s="44" t="s">
        <v>19</v>
      </c>
      <c r="E30" s="44" t="s">
        <v>38</v>
      </c>
      <c r="F30" s="44" t="s">
        <v>15</v>
      </c>
      <c r="G30" s="44" t="s">
        <v>14</v>
      </c>
      <c r="H30" s="44" t="s">
        <v>15</v>
      </c>
      <c r="I30" s="44" t="s">
        <v>16</v>
      </c>
      <c r="J30" s="44" t="s">
        <v>14</v>
      </c>
      <c r="K30" s="249">
        <f>K31+K32</f>
        <v>8436</v>
      </c>
      <c r="L30" s="249">
        <f aca="true" t="shared" si="5" ref="L30:W30">L31+L32</f>
        <v>1774</v>
      </c>
      <c r="M30" s="249">
        <f t="shared" si="5"/>
        <v>1774</v>
      </c>
      <c r="N30" s="249">
        <f t="shared" si="5"/>
        <v>1774</v>
      </c>
      <c r="O30" s="249">
        <f t="shared" si="5"/>
        <v>1774.1</v>
      </c>
      <c r="P30" s="249">
        <f t="shared" si="5"/>
        <v>7096.1</v>
      </c>
      <c r="Q30" s="249">
        <f t="shared" si="5"/>
        <v>50</v>
      </c>
      <c r="R30" s="249">
        <f t="shared" si="5"/>
        <v>0</v>
      </c>
      <c r="S30" s="249">
        <f t="shared" si="5"/>
        <v>0</v>
      </c>
      <c r="T30" s="249">
        <f t="shared" si="5"/>
        <v>0</v>
      </c>
      <c r="U30" s="249">
        <f t="shared" si="5"/>
        <v>0</v>
      </c>
      <c r="V30" s="249">
        <f t="shared" si="5"/>
        <v>7250</v>
      </c>
      <c r="W30" s="249">
        <f t="shared" si="5"/>
        <v>6536</v>
      </c>
    </row>
    <row r="31" spans="1:23" ht="24" hidden="1">
      <c r="A31" s="321" t="s">
        <v>39</v>
      </c>
      <c r="B31" s="93" t="s">
        <v>40</v>
      </c>
      <c r="C31" s="46" t="s">
        <v>26</v>
      </c>
      <c r="D31" s="46" t="s">
        <v>19</v>
      </c>
      <c r="E31" s="46" t="s">
        <v>38</v>
      </c>
      <c r="F31" s="46" t="s">
        <v>23</v>
      </c>
      <c r="G31" s="46" t="s">
        <v>14</v>
      </c>
      <c r="H31" s="46" t="s">
        <v>23</v>
      </c>
      <c r="I31" s="46" t="s">
        <v>16</v>
      </c>
      <c r="J31" s="46" t="s">
        <v>24</v>
      </c>
      <c r="K31" s="64">
        <v>8400</v>
      </c>
      <c r="L31" s="391">
        <v>1757.5</v>
      </c>
      <c r="M31" s="391">
        <v>1757.5</v>
      </c>
      <c r="N31" s="391">
        <v>1757.5</v>
      </c>
      <c r="O31" s="391">
        <v>1757.5</v>
      </c>
      <c r="P31" s="391">
        <f t="shared" si="3"/>
        <v>7030</v>
      </c>
      <c r="Q31" s="391"/>
      <c r="R31" s="391"/>
      <c r="S31" s="391"/>
      <c r="T31" s="391"/>
      <c r="U31" s="391"/>
      <c r="V31" s="391">
        <v>7304</v>
      </c>
      <c r="W31" s="391">
        <v>6233</v>
      </c>
    </row>
    <row r="32" spans="1:23" ht="12.75" hidden="1">
      <c r="A32" s="321" t="s">
        <v>41</v>
      </c>
      <c r="B32" s="93" t="s">
        <v>256</v>
      </c>
      <c r="C32" s="46" t="s">
        <v>26</v>
      </c>
      <c r="D32" s="46" t="s">
        <v>19</v>
      </c>
      <c r="E32" s="46" t="s">
        <v>38</v>
      </c>
      <c r="F32" s="46" t="s">
        <v>42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36</v>
      </c>
      <c r="L32" s="391">
        <v>16.5</v>
      </c>
      <c r="M32" s="391">
        <v>16.5</v>
      </c>
      <c r="N32" s="391">
        <v>16.5</v>
      </c>
      <c r="O32" s="391">
        <v>16.6</v>
      </c>
      <c r="P32" s="391">
        <f t="shared" si="3"/>
        <v>66.1</v>
      </c>
      <c r="Q32" s="391">
        <v>50</v>
      </c>
      <c r="R32" s="391"/>
      <c r="S32" s="391"/>
      <c r="T32" s="391"/>
      <c r="U32" s="391"/>
      <c r="V32" s="391">
        <v>-54</v>
      </c>
      <c r="W32" s="391">
        <v>303</v>
      </c>
    </row>
    <row r="33" spans="1:23" ht="0.75" customHeight="1" hidden="1">
      <c r="A33" s="322" t="s">
        <v>44</v>
      </c>
      <c r="B33" s="368" t="s">
        <v>45</v>
      </c>
      <c r="C33" s="44" t="s">
        <v>14</v>
      </c>
      <c r="D33" s="44" t="s">
        <v>19</v>
      </c>
      <c r="E33" s="44" t="s">
        <v>46</v>
      </c>
      <c r="F33" s="44" t="s">
        <v>15</v>
      </c>
      <c r="G33" s="44" t="s">
        <v>14</v>
      </c>
      <c r="H33" s="44" t="s">
        <v>15</v>
      </c>
      <c r="I33" s="44" t="s">
        <v>16</v>
      </c>
      <c r="J33" s="44" t="s">
        <v>14</v>
      </c>
      <c r="K33" s="249">
        <f>K34+K35+K36</f>
        <v>0</v>
      </c>
      <c r="L33" s="391"/>
      <c r="M33" s="391"/>
      <c r="N33" s="391"/>
      <c r="O33" s="391"/>
      <c r="P33" s="391">
        <f t="shared" si="3"/>
        <v>0</v>
      </c>
      <c r="Q33" s="391"/>
      <c r="R33" s="391"/>
      <c r="S33" s="391"/>
      <c r="T33" s="391"/>
      <c r="U33" s="391"/>
      <c r="V33" s="391"/>
      <c r="W33" s="391"/>
    </row>
    <row r="34" spans="1:23" ht="12" customHeight="1" hidden="1">
      <c r="A34" s="322"/>
      <c r="B34" s="93" t="s">
        <v>47</v>
      </c>
      <c r="C34" s="46" t="s">
        <v>26</v>
      </c>
      <c r="D34" s="46" t="s">
        <v>19</v>
      </c>
      <c r="E34" s="46" t="s">
        <v>46</v>
      </c>
      <c r="F34" s="46" t="s">
        <v>20</v>
      </c>
      <c r="G34" s="46" t="s">
        <v>85</v>
      </c>
      <c r="H34" s="46" t="s">
        <v>38</v>
      </c>
      <c r="I34" s="46" t="s">
        <v>16</v>
      </c>
      <c r="J34" s="46" t="s">
        <v>24</v>
      </c>
      <c r="K34" s="64">
        <v>0</v>
      </c>
      <c r="L34" s="391"/>
      <c r="M34" s="391"/>
      <c r="N34" s="391"/>
      <c r="O34" s="391"/>
      <c r="P34" s="391">
        <f t="shared" si="3"/>
        <v>0</v>
      </c>
      <c r="Q34" s="391"/>
      <c r="R34" s="391"/>
      <c r="S34" s="391"/>
      <c r="T34" s="391"/>
      <c r="U34" s="391"/>
      <c r="V34" s="391"/>
      <c r="W34" s="391"/>
    </row>
    <row r="35" spans="1:23" ht="12.75" hidden="1">
      <c r="A35" s="322"/>
      <c r="B35" s="93" t="s">
        <v>170</v>
      </c>
      <c r="C35" s="46" t="s">
        <v>26</v>
      </c>
      <c r="D35" s="46" t="s">
        <v>19</v>
      </c>
      <c r="E35" s="46" t="s">
        <v>46</v>
      </c>
      <c r="F35" s="46" t="s">
        <v>23</v>
      </c>
      <c r="G35" s="46" t="s">
        <v>14</v>
      </c>
      <c r="H35" s="46" t="s">
        <v>23</v>
      </c>
      <c r="I35" s="46" t="s">
        <v>16</v>
      </c>
      <c r="J35" s="46" t="s">
        <v>24</v>
      </c>
      <c r="K35" s="64">
        <v>0</v>
      </c>
      <c r="L35" s="391"/>
      <c r="M35" s="391"/>
      <c r="N35" s="391"/>
      <c r="O35" s="391"/>
      <c r="P35" s="391">
        <f t="shared" si="3"/>
        <v>0</v>
      </c>
      <c r="Q35" s="391"/>
      <c r="R35" s="391"/>
      <c r="S35" s="391"/>
      <c r="T35" s="391"/>
      <c r="U35" s="391"/>
      <c r="V35" s="391"/>
      <c r="W35" s="391"/>
    </row>
    <row r="36" spans="1:23" ht="12" customHeight="1" hidden="1">
      <c r="A36" s="322"/>
      <c r="B36" s="93" t="s">
        <v>49</v>
      </c>
      <c r="C36" s="46" t="s">
        <v>26</v>
      </c>
      <c r="D36" s="46" t="s">
        <v>19</v>
      </c>
      <c r="E36" s="46" t="s">
        <v>46</v>
      </c>
      <c r="F36" s="46" t="s">
        <v>46</v>
      </c>
      <c r="G36" s="46" t="s">
        <v>151</v>
      </c>
      <c r="H36" s="46" t="s">
        <v>38</v>
      </c>
      <c r="I36" s="46" t="s">
        <v>16</v>
      </c>
      <c r="J36" s="46" t="s">
        <v>24</v>
      </c>
      <c r="K36" s="64">
        <v>0</v>
      </c>
      <c r="L36" s="391"/>
      <c r="M36" s="391"/>
      <c r="N36" s="391"/>
      <c r="O36" s="391"/>
      <c r="P36" s="391">
        <f t="shared" si="3"/>
        <v>0</v>
      </c>
      <c r="Q36" s="391"/>
      <c r="R36" s="391"/>
      <c r="S36" s="391"/>
      <c r="T36" s="391"/>
      <c r="U36" s="391"/>
      <c r="V36" s="391"/>
      <c r="W36" s="391"/>
    </row>
    <row r="37" spans="1:23" ht="15.75" customHeight="1" hidden="1">
      <c r="A37" s="322" t="s">
        <v>44</v>
      </c>
      <c r="B37" s="368" t="s">
        <v>51</v>
      </c>
      <c r="C37" s="44" t="s">
        <v>14</v>
      </c>
      <c r="D37" s="44" t="s">
        <v>19</v>
      </c>
      <c r="E37" s="44" t="s">
        <v>52</v>
      </c>
      <c r="F37" s="44" t="s">
        <v>15</v>
      </c>
      <c r="G37" s="44" t="s">
        <v>14</v>
      </c>
      <c r="H37" s="44" t="s">
        <v>15</v>
      </c>
      <c r="I37" s="44" t="s">
        <v>16</v>
      </c>
      <c r="J37" s="44" t="s">
        <v>14</v>
      </c>
      <c r="K37" s="249">
        <f>K38+K39+K40</f>
        <v>2746.2</v>
      </c>
      <c r="L37" s="233">
        <f aca="true" t="shared" si="6" ref="L37:W37">L38+L39+L40</f>
        <v>457.2</v>
      </c>
      <c r="M37" s="233">
        <f t="shared" si="6"/>
        <v>457.3</v>
      </c>
      <c r="N37" s="233">
        <f t="shared" si="6"/>
        <v>457.2</v>
      </c>
      <c r="O37" s="233">
        <f t="shared" si="6"/>
        <v>457.3</v>
      </c>
      <c r="P37" s="233">
        <f t="shared" si="6"/>
        <v>1829</v>
      </c>
      <c r="Q37" s="233">
        <f t="shared" si="6"/>
        <v>0</v>
      </c>
      <c r="R37" s="233">
        <f t="shared" si="6"/>
        <v>0</v>
      </c>
      <c r="S37" s="233">
        <f t="shared" si="6"/>
        <v>0</v>
      </c>
      <c r="T37" s="233">
        <f t="shared" si="6"/>
        <v>0</v>
      </c>
      <c r="U37" s="233">
        <f t="shared" si="6"/>
        <v>0</v>
      </c>
      <c r="V37" s="233">
        <f t="shared" si="6"/>
        <v>2529.5</v>
      </c>
      <c r="W37" s="233">
        <f t="shared" si="6"/>
        <v>2180</v>
      </c>
    </row>
    <row r="38" spans="1:23" ht="36" hidden="1">
      <c r="A38" s="374" t="s">
        <v>306</v>
      </c>
      <c r="B38" s="93" t="s">
        <v>333</v>
      </c>
      <c r="C38" s="46" t="s">
        <v>26</v>
      </c>
      <c r="D38" s="46" t="s">
        <v>19</v>
      </c>
      <c r="E38" s="46" t="s">
        <v>52</v>
      </c>
      <c r="F38" s="46" t="s">
        <v>42</v>
      </c>
      <c r="G38" s="46" t="s">
        <v>27</v>
      </c>
      <c r="H38" s="46" t="s">
        <v>20</v>
      </c>
      <c r="I38" s="46" t="s">
        <v>16</v>
      </c>
      <c r="J38" s="46" t="s">
        <v>24</v>
      </c>
      <c r="K38" s="64">
        <v>700</v>
      </c>
      <c r="L38" s="391">
        <v>457.2</v>
      </c>
      <c r="M38" s="391">
        <v>457.3</v>
      </c>
      <c r="N38" s="391">
        <v>457.2</v>
      </c>
      <c r="O38" s="391">
        <v>457.3</v>
      </c>
      <c r="P38" s="391">
        <f t="shared" si="3"/>
        <v>1829</v>
      </c>
      <c r="Q38" s="391"/>
      <c r="R38" s="391"/>
      <c r="S38" s="391"/>
      <c r="T38" s="391"/>
      <c r="U38" s="391"/>
      <c r="V38" s="391">
        <v>906</v>
      </c>
      <c r="W38" s="391">
        <v>748</v>
      </c>
    </row>
    <row r="39" spans="1:23" ht="63" customHeight="1" hidden="1">
      <c r="A39" s="374" t="s">
        <v>314</v>
      </c>
      <c r="B39" s="93" t="s">
        <v>334</v>
      </c>
      <c r="C39" s="46" t="s">
        <v>14</v>
      </c>
      <c r="D39" s="46" t="s">
        <v>19</v>
      </c>
      <c r="E39" s="46" t="s">
        <v>52</v>
      </c>
      <c r="F39" s="46" t="s">
        <v>55</v>
      </c>
      <c r="G39" s="46" t="s">
        <v>272</v>
      </c>
      <c r="H39" s="46" t="s">
        <v>20</v>
      </c>
      <c r="I39" s="46" t="s">
        <v>16</v>
      </c>
      <c r="J39" s="46" t="s">
        <v>24</v>
      </c>
      <c r="K39" s="64">
        <f>1570+476.2</f>
        <v>2046.2</v>
      </c>
      <c r="L39" s="391"/>
      <c r="M39" s="391"/>
      <c r="N39" s="391"/>
      <c r="O39" s="391"/>
      <c r="P39" s="391">
        <f t="shared" si="3"/>
        <v>0</v>
      </c>
      <c r="Q39" s="391"/>
      <c r="R39" s="391"/>
      <c r="S39" s="391"/>
      <c r="T39" s="391"/>
      <c r="U39" s="391"/>
      <c r="V39" s="391">
        <v>1616</v>
      </c>
      <c r="W39" s="391">
        <v>1423</v>
      </c>
    </row>
    <row r="40" spans="1:23" ht="24" hidden="1">
      <c r="A40" s="374"/>
      <c r="B40" s="93" t="s">
        <v>316</v>
      </c>
      <c r="C40" s="46" t="s">
        <v>270</v>
      </c>
      <c r="D40" s="46" t="s">
        <v>19</v>
      </c>
      <c r="E40" s="46" t="s">
        <v>52</v>
      </c>
      <c r="F40" s="46" t="s">
        <v>55</v>
      </c>
      <c r="G40" s="46" t="s">
        <v>317</v>
      </c>
      <c r="H40" s="46" t="s">
        <v>20</v>
      </c>
      <c r="I40" s="46" t="s">
        <v>16</v>
      </c>
      <c r="J40" s="46" t="s">
        <v>24</v>
      </c>
      <c r="K40" s="64">
        <v>0</v>
      </c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>
        <v>7.5</v>
      </c>
      <c r="W40" s="391">
        <v>9</v>
      </c>
    </row>
    <row r="41" spans="1:25" ht="24.75" customHeight="1">
      <c r="A41" s="320" t="s">
        <v>50</v>
      </c>
      <c r="B41" s="323" t="s">
        <v>148</v>
      </c>
      <c r="C41" s="44" t="s">
        <v>14</v>
      </c>
      <c r="D41" s="44" t="s">
        <v>19</v>
      </c>
      <c r="E41" s="44" t="s">
        <v>63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249">
        <f>K43+K47</f>
        <v>7187</v>
      </c>
      <c r="L41" s="249">
        <f aca="true" t="shared" si="7" ref="L41:W41">L43+L47</f>
        <v>1453.1</v>
      </c>
      <c r="M41" s="249">
        <f t="shared" si="7"/>
        <v>1453.1</v>
      </c>
      <c r="N41" s="249">
        <f t="shared" si="7"/>
        <v>1453.1</v>
      </c>
      <c r="O41" s="249">
        <f t="shared" si="7"/>
        <v>1453.2</v>
      </c>
      <c r="P41" s="249">
        <f t="shared" si="7"/>
        <v>5812.5</v>
      </c>
      <c r="Q41" s="249">
        <f t="shared" si="7"/>
        <v>350</v>
      </c>
      <c r="R41" s="249">
        <f t="shared" si="7"/>
        <v>0</v>
      </c>
      <c r="S41" s="249">
        <f t="shared" si="7"/>
        <v>0</v>
      </c>
      <c r="T41" s="249">
        <f t="shared" si="7"/>
        <v>0</v>
      </c>
      <c r="U41" s="249">
        <f t="shared" si="7"/>
        <v>0</v>
      </c>
      <c r="V41" s="249">
        <f t="shared" si="7"/>
        <v>6620</v>
      </c>
      <c r="W41" s="249">
        <f t="shared" si="7"/>
        <v>8731</v>
      </c>
      <c r="X41" s="249">
        <f>X44+X46</f>
        <v>2056</v>
      </c>
      <c r="Y41" s="249">
        <f aca="true" t="shared" si="8" ref="Y41:Y47">K41+X41</f>
        <v>9243</v>
      </c>
    </row>
    <row r="42" spans="1:25" ht="0.75" customHeight="1">
      <c r="A42" s="321"/>
      <c r="B42" s="323"/>
      <c r="C42" s="44"/>
      <c r="D42" s="44"/>
      <c r="E42" s="44"/>
      <c r="F42" s="44"/>
      <c r="G42" s="44"/>
      <c r="H42" s="44"/>
      <c r="I42" s="44"/>
      <c r="J42" s="44"/>
      <c r="K42" s="249"/>
      <c r="L42" s="391"/>
      <c r="M42" s="391"/>
      <c r="N42" s="391"/>
      <c r="O42" s="391"/>
      <c r="P42" s="391">
        <f t="shared" si="3"/>
        <v>0</v>
      </c>
      <c r="Q42" s="391"/>
      <c r="R42" s="391"/>
      <c r="S42" s="391"/>
      <c r="T42" s="391"/>
      <c r="U42" s="391"/>
      <c r="V42" s="391"/>
      <c r="W42" s="391"/>
      <c r="Y42" s="249">
        <f t="shared" si="8"/>
        <v>0</v>
      </c>
    </row>
    <row r="43" spans="1:25" ht="40.5" customHeight="1" hidden="1">
      <c r="A43" s="324" t="s">
        <v>285</v>
      </c>
      <c r="B43" s="122" t="s">
        <v>326</v>
      </c>
      <c r="C43" s="115" t="s">
        <v>14</v>
      </c>
      <c r="D43" s="115">
        <v>1</v>
      </c>
      <c r="E43" s="115">
        <v>11</v>
      </c>
      <c r="F43" s="115" t="s">
        <v>38</v>
      </c>
      <c r="G43" s="115" t="s">
        <v>14</v>
      </c>
      <c r="H43" s="115" t="s">
        <v>15</v>
      </c>
      <c r="I43" s="115" t="s">
        <v>16</v>
      </c>
      <c r="J43" s="115" t="s">
        <v>65</v>
      </c>
      <c r="K43" s="250">
        <f>K44+K45</f>
        <v>2637</v>
      </c>
      <c r="L43" s="250">
        <f aca="true" t="shared" si="9" ref="L43:W43">L44+L45</f>
        <v>403.1</v>
      </c>
      <c r="M43" s="250">
        <f t="shared" si="9"/>
        <v>403.1</v>
      </c>
      <c r="N43" s="250">
        <f t="shared" si="9"/>
        <v>403.1</v>
      </c>
      <c r="O43" s="250">
        <f t="shared" si="9"/>
        <v>403.2</v>
      </c>
      <c r="P43" s="250">
        <f t="shared" si="9"/>
        <v>1612.5000000000002</v>
      </c>
      <c r="Q43" s="250">
        <f t="shared" si="9"/>
        <v>350</v>
      </c>
      <c r="R43" s="250">
        <f t="shared" si="9"/>
        <v>0</v>
      </c>
      <c r="S43" s="250">
        <f t="shared" si="9"/>
        <v>0</v>
      </c>
      <c r="T43" s="250">
        <f t="shared" si="9"/>
        <v>0</v>
      </c>
      <c r="U43" s="250">
        <f t="shared" si="9"/>
        <v>0</v>
      </c>
      <c r="V43" s="250">
        <f t="shared" si="9"/>
        <v>2121</v>
      </c>
      <c r="W43" s="250">
        <f t="shared" si="9"/>
        <v>2257</v>
      </c>
      <c r="Y43" s="420">
        <f t="shared" si="8"/>
        <v>2637</v>
      </c>
    </row>
    <row r="44" spans="1:25" ht="53.25" customHeight="1">
      <c r="A44" s="325"/>
      <c r="B44" s="370" t="s">
        <v>372</v>
      </c>
      <c r="C44" s="371" t="s">
        <v>270</v>
      </c>
      <c r="D44" s="371" t="s">
        <v>19</v>
      </c>
      <c r="E44" s="371" t="s">
        <v>63</v>
      </c>
      <c r="F44" s="371" t="s">
        <v>20</v>
      </c>
      <c r="G44" s="371" t="s">
        <v>159</v>
      </c>
      <c r="H44" s="371" t="s">
        <v>38</v>
      </c>
      <c r="I44" s="371" t="s">
        <v>16</v>
      </c>
      <c r="J44" s="371" t="s">
        <v>65</v>
      </c>
      <c r="K44" s="251">
        <v>0</v>
      </c>
      <c r="L44" s="391">
        <v>403.1</v>
      </c>
      <c r="M44" s="391">
        <v>403.1</v>
      </c>
      <c r="N44" s="391">
        <v>403.1</v>
      </c>
      <c r="O44" s="391">
        <v>403.2</v>
      </c>
      <c r="P44" s="391">
        <f t="shared" si="3"/>
        <v>1612.5000000000002</v>
      </c>
      <c r="Q44" s="391">
        <v>350</v>
      </c>
      <c r="R44" s="391"/>
      <c r="S44" s="391"/>
      <c r="T44" s="391"/>
      <c r="U44" s="391"/>
      <c r="V44" s="391">
        <v>369</v>
      </c>
      <c r="W44" s="391">
        <v>0</v>
      </c>
      <c r="X44" s="184">
        <v>56</v>
      </c>
      <c r="Y44" s="251">
        <f t="shared" si="8"/>
        <v>56</v>
      </c>
    </row>
    <row r="45" spans="1:25" ht="65.25" customHeight="1" hidden="1">
      <c r="A45" s="320"/>
      <c r="B45" s="375" t="s">
        <v>319</v>
      </c>
      <c r="C45" s="46" t="s">
        <v>270</v>
      </c>
      <c r="D45" s="46" t="s">
        <v>19</v>
      </c>
      <c r="E45" s="46" t="s">
        <v>63</v>
      </c>
      <c r="F45" s="46" t="s">
        <v>38</v>
      </c>
      <c r="G45" s="46" t="s">
        <v>27</v>
      </c>
      <c r="H45" s="46" t="s">
        <v>112</v>
      </c>
      <c r="I45" s="46" t="s">
        <v>16</v>
      </c>
      <c r="J45" s="46" t="s">
        <v>65</v>
      </c>
      <c r="K45" s="64">
        <v>2637</v>
      </c>
      <c r="L45" s="391"/>
      <c r="M45" s="391"/>
      <c r="N45" s="391"/>
      <c r="O45" s="391"/>
      <c r="P45" s="391">
        <f t="shared" si="3"/>
        <v>0</v>
      </c>
      <c r="Q45" s="391"/>
      <c r="R45" s="391"/>
      <c r="S45" s="391"/>
      <c r="T45" s="391"/>
      <c r="U45" s="391"/>
      <c r="V45" s="391">
        <v>1752</v>
      </c>
      <c r="W45" s="391">
        <v>2257</v>
      </c>
      <c r="X45" s="184"/>
      <c r="Y45" s="184">
        <f t="shared" si="8"/>
        <v>2637</v>
      </c>
    </row>
    <row r="46" spans="1:25" ht="36">
      <c r="A46" s="324" t="s">
        <v>286</v>
      </c>
      <c r="B46" s="122" t="s">
        <v>154</v>
      </c>
      <c r="C46" s="115" t="s">
        <v>270</v>
      </c>
      <c r="D46" s="115" t="s">
        <v>19</v>
      </c>
      <c r="E46" s="115" t="s">
        <v>63</v>
      </c>
      <c r="F46" s="115" t="s">
        <v>58</v>
      </c>
      <c r="G46" s="115" t="s">
        <v>14</v>
      </c>
      <c r="H46" s="115" t="s">
        <v>15</v>
      </c>
      <c r="I46" s="115" t="s">
        <v>16</v>
      </c>
      <c r="J46" s="115" t="s">
        <v>65</v>
      </c>
      <c r="K46" s="64">
        <f>K47</f>
        <v>4550</v>
      </c>
      <c r="L46" s="64">
        <f aca="true" t="shared" si="10" ref="L46:W46">L47</f>
        <v>1050</v>
      </c>
      <c r="M46" s="64">
        <f t="shared" si="10"/>
        <v>1050</v>
      </c>
      <c r="N46" s="64">
        <f t="shared" si="10"/>
        <v>1050</v>
      </c>
      <c r="O46" s="64">
        <f t="shared" si="10"/>
        <v>1050</v>
      </c>
      <c r="P46" s="64">
        <f t="shared" si="10"/>
        <v>4200</v>
      </c>
      <c r="Q46" s="64">
        <f t="shared" si="10"/>
        <v>0</v>
      </c>
      <c r="R46" s="64">
        <f t="shared" si="10"/>
        <v>0</v>
      </c>
      <c r="S46" s="64">
        <f t="shared" si="10"/>
        <v>0</v>
      </c>
      <c r="T46" s="64">
        <f t="shared" si="10"/>
        <v>0</v>
      </c>
      <c r="U46" s="64">
        <f t="shared" si="10"/>
        <v>0</v>
      </c>
      <c r="V46" s="64">
        <f t="shared" si="10"/>
        <v>4499</v>
      </c>
      <c r="W46" s="64">
        <f t="shared" si="10"/>
        <v>6474</v>
      </c>
      <c r="X46" s="184">
        <v>2000</v>
      </c>
      <c r="Y46" s="184">
        <f t="shared" si="8"/>
        <v>6550</v>
      </c>
    </row>
    <row r="47" spans="1:25" ht="24" hidden="1">
      <c r="A47" s="77"/>
      <c r="B47" s="112" t="s">
        <v>330</v>
      </c>
      <c r="C47" s="46" t="s">
        <v>270</v>
      </c>
      <c r="D47" s="46" t="s">
        <v>19</v>
      </c>
      <c r="E47" s="46" t="s">
        <v>63</v>
      </c>
      <c r="F47" s="46" t="s">
        <v>58</v>
      </c>
      <c r="G47" s="46" t="s">
        <v>153</v>
      </c>
      <c r="H47" s="46" t="s">
        <v>38</v>
      </c>
      <c r="I47" s="46" t="s">
        <v>16</v>
      </c>
      <c r="J47" s="46" t="s">
        <v>65</v>
      </c>
      <c r="K47" s="251">
        <v>4550</v>
      </c>
      <c r="L47" s="391">
        <v>1050</v>
      </c>
      <c r="M47" s="391">
        <v>1050</v>
      </c>
      <c r="N47" s="391">
        <v>1050</v>
      </c>
      <c r="O47" s="391">
        <v>1050</v>
      </c>
      <c r="P47" s="391">
        <f t="shared" si="3"/>
        <v>4200</v>
      </c>
      <c r="Q47" s="391"/>
      <c r="R47" s="391"/>
      <c r="S47" s="391"/>
      <c r="T47" s="391"/>
      <c r="U47" s="391"/>
      <c r="V47" s="391">
        <v>4499</v>
      </c>
      <c r="W47" s="391">
        <v>6474</v>
      </c>
      <c r="Y47">
        <f t="shared" si="8"/>
        <v>4550</v>
      </c>
    </row>
    <row r="48" spans="1:23" ht="25.5" hidden="1">
      <c r="A48" s="320">
        <v>5</v>
      </c>
      <c r="B48" s="328" t="s">
        <v>69</v>
      </c>
      <c r="C48" s="44" t="s">
        <v>14</v>
      </c>
      <c r="D48" s="44" t="s">
        <v>19</v>
      </c>
      <c r="E48" s="44" t="s">
        <v>70</v>
      </c>
      <c r="F48" s="44" t="s">
        <v>15</v>
      </c>
      <c r="G48" s="44" t="s">
        <v>14</v>
      </c>
      <c r="H48" s="44" t="s">
        <v>15</v>
      </c>
      <c r="I48" s="44" t="s">
        <v>16</v>
      </c>
      <c r="J48" s="44" t="s">
        <v>14</v>
      </c>
      <c r="K48" s="249">
        <f>K49</f>
        <v>340</v>
      </c>
      <c r="L48" s="249">
        <f aca="true" t="shared" si="11" ref="L48:W48">L49</f>
        <v>118.8</v>
      </c>
      <c r="M48" s="249">
        <f t="shared" si="11"/>
        <v>118.7</v>
      </c>
      <c r="N48" s="249">
        <f t="shared" si="11"/>
        <v>118.8</v>
      </c>
      <c r="O48" s="249">
        <f t="shared" si="11"/>
        <v>118.7</v>
      </c>
      <c r="P48" s="249">
        <f t="shared" si="11"/>
        <v>475</v>
      </c>
      <c r="Q48" s="249">
        <f t="shared" si="11"/>
        <v>0</v>
      </c>
      <c r="R48" s="249">
        <f t="shared" si="11"/>
        <v>0</v>
      </c>
      <c r="S48" s="249">
        <f t="shared" si="11"/>
        <v>0</v>
      </c>
      <c r="T48" s="249">
        <f t="shared" si="11"/>
        <v>0</v>
      </c>
      <c r="U48" s="249">
        <f t="shared" si="11"/>
        <v>0</v>
      </c>
      <c r="V48" s="249">
        <f t="shared" si="11"/>
        <v>606</v>
      </c>
      <c r="W48" s="249">
        <f t="shared" si="11"/>
        <v>484</v>
      </c>
    </row>
    <row r="49" spans="1:23" ht="12.75" hidden="1">
      <c r="A49" s="324" t="s">
        <v>287</v>
      </c>
      <c r="B49" s="122" t="s">
        <v>72</v>
      </c>
      <c r="C49" s="115" t="s">
        <v>156</v>
      </c>
      <c r="D49" s="115" t="s">
        <v>19</v>
      </c>
      <c r="E49" s="115" t="s">
        <v>70</v>
      </c>
      <c r="F49" s="115" t="s">
        <v>20</v>
      </c>
      <c r="G49" s="115" t="s">
        <v>14</v>
      </c>
      <c r="H49" s="115" t="s">
        <v>20</v>
      </c>
      <c r="I49" s="115" t="s">
        <v>16</v>
      </c>
      <c r="J49" s="115" t="s">
        <v>65</v>
      </c>
      <c r="K49" s="64">
        <v>340</v>
      </c>
      <c r="L49" s="391">
        <v>118.8</v>
      </c>
      <c r="M49" s="391">
        <v>118.7</v>
      </c>
      <c r="N49" s="391">
        <v>118.8</v>
      </c>
      <c r="O49" s="391">
        <v>118.7</v>
      </c>
      <c r="P49" s="391">
        <f t="shared" si="3"/>
        <v>475</v>
      </c>
      <c r="Q49" s="391"/>
      <c r="R49" s="391"/>
      <c r="S49" s="391"/>
      <c r="T49" s="391"/>
      <c r="U49" s="391"/>
      <c r="V49" s="391">
        <v>606</v>
      </c>
      <c r="W49" s="391">
        <v>484</v>
      </c>
    </row>
    <row r="50" spans="1:23" ht="39.75" customHeight="1" hidden="1">
      <c r="A50" s="236" t="s">
        <v>62</v>
      </c>
      <c r="B50" s="112" t="s">
        <v>217</v>
      </c>
      <c r="C50" s="46" t="s">
        <v>270</v>
      </c>
      <c r="D50" s="46" t="s">
        <v>19</v>
      </c>
      <c r="E50" s="46" t="s">
        <v>218</v>
      </c>
      <c r="F50" s="46" t="s">
        <v>23</v>
      </c>
      <c r="G50" s="46" t="s">
        <v>195</v>
      </c>
      <c r="H50" s="46" t="s">
        <v>38</v>
      </c>
      <c r="I50" s="46" t="s">
        <v>16</v>
      </c>
      <c r="J50" s="46" t="s">
        <v>101</v>
      </c>
      <c r="K50" s="411">
        <v>150</v>
      </c>
      <c r="L50" s="412">
        <v>37.5</v>
      </c>
      <c r="M50" s="412">
        <v>37.5</v>
      </c>
      <c r="N50" s="412">
        <v>37.5</v>
      </c>
      <c r="O50" s="412">
        <v>37.5</v>
      </c>
      <c r="P50" s="412">
        <f t="shared" si="3"/>
        <v>150</v>
      </c>
      <c r="Q50" s="412"/>
      <c r="R50" s="412"/>
      <c r="S50" s="412"/>
      <c r="T50" s="412"/>
      <c r="U50" s="412"/>
      <c r="V50" s="412">
        <v>304</v>
      </c>
      <c r="W50" s="412">
        <v>154</v>
      </c>
    </row>
    <row r="51" spans="1:25" ht="50.25" customHeight="1">
      <c r="A51" s="236"/>
      <c r="B51" s="112" t="s">
        <v>370</v>
      </c>
      <c r="C51" s="46" t="s">
        <v>270</v>
      </c>
      <c r="D51" s="46" t="s">
        <v>19</v>
      </c>
      <c r="E51" s="46" t="s">
        <v>218</v>
      </c>
      <c r="F51" s="46" t="s">
        <v>42</v>
      </c>
      <c r="G51" s="46" t="s">
        <v>159</v>
      </c>
      <c r="H51" s="46" t="s">
        <v>38</v>
      </c>
      <c r="I51" s="46" t="s">
        <v>16</v>
      </c>
      <c r="J51" s="46" t="s">
        <v>101</v>
      </c>
      <c r="K51" s="64">
        <v>23084</v>
      </c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184">
        <v>80</v>
      </c>
      <c r="Y51" s="184">
        <f>K51+X51</f>
        <v>23164</v>
      </c>
    </row>
    <row r="52" spans="1:25" ht="24">
      <c r="A52" s="236" t="s">
        <v>68</v>
      </c>
      <c r="B52" s="327" t="s">
        <v>113</v>
      </c>
      <c r="C52" s="44" t="s">
        <v>14</v>
      </c>
      <c r="D52" s="44" t="s">
        <v>19</v>
      </c>
      <c r="E52" s="44" t="s">
        <v>114</v>
      </c>
      <c r="F52" s="44" t="s">
        <v>15</v>
      </c>
      <c r="G52" s="44" t="s">
        <v>14</v>
      </c>
      <c r="H52" s="44" t="s">
        <v>15</v>
      </c>
      <c r="I52" s="44" t="s">
        <v>16</v>
      </c>
      <c r="J52" s="44" t="s">
        <v>14</v>
      </c>
      <c r="K52" s="410">
        <f>K53+K54</f>
        <v>3500</v>
      </c>
      <c r="L52" s="410">
        <f aca="true" t="shared" si="12" ref="L52:X52">L53+L54</f>
        <v>87.5</v>
      </c>
      <c r="M52" s="410">
        <f t="shared" si="12"/>
        <v>87.5</v>
      </c>
      <c r="N52" s="410">
        <f t="shared" si="12"/>
        <v>87.5</v>
      </c>
      <c r="O52" s="410">
        <f t="shared" si="12"/>
        <v>87.5</v>
      </c>
      <c r="P52" s="410">
        <f t="shared" si="12"/>
        <v>350</v>
      </c>
      <c r="Q52" s="410">
        <f t="shared" si="12"/>
        <v>6200</v>
      </c>
      <c r="R52" s="410">
        <f t="shared" si="12"/>
        <v>0</v>
      </c>
      <c r="S52" s="410">
        <f t="shared" si="12"/>
        <v>0</v>
      </c>
      <c r="T52" s="410">
        <f t="shared" si="12"/>
        <v>0</v>
      </c>
      <c r="U52" s="410">
        <f t="shared" si="12"/>
        <v>0</v>
      </c>
      <c r="V52" s="410">
        <f t="shared" si="12"/>
        <v>2568</v>
      </c>
      <c r="W52" s="410">
        <f t="shared" si="12"/>
        <v>3702</v>
      </c>
      <c r="X52" s="410">
        <f t="shared" si="12"/>
        <v>5200</v>
      </c>
      <c r="Y52" s="184">
        <f aca="true" t="shared" si="13" ref="Y52:Y69">K52+X52</f>
        <v>8700</v>
      </c>
    </row>
    <row r="53" spans="1:25" ht="36">
      <c r="A53" s="236"/>
      <c r="B53" s="87" t="s">
        <v>327</v>
      </c>
      <c r="C53" s="46" t="s">
        <v>14</v>
      </c>
      <c r="D53" s="46" t="s">
        <v>19</v>
      </c>
      <c r="E53" s="46" t="s">
        <v>114</v>
      </c>
      <c r="F53" s="46" t="s">
        <v>23</v>
      </c>
      <c r="G53" s="46" t="s">
        <v>273</v>
      </c>
      <c r="H53" s="46" t="s">
        <v>38</v>
      </c>
      <c r="I53" s="46" t="s">
        <v>16</v>
      </c>
      <c r="J53" s="46" t="s">
        <v>118</v>
      </c>
      <c r="K53" s="64">
        <v>1850</v>
      </c>
      <c r="L53" s="391">
        <v>87.5</v>
      </c>
      <c r="M53" s="391">
        <v>87.5</v>
      </c>
      <c r="N53" s="391">
        <v>87.5</v>
      </c>
      <c r="O53" s="391">
        <v>87.5</v>
      </c>
      <c r="P53" s="391">
        <f t="shared" si="3"/>
        <v>350</v>
      </c>
      <c r="Q53" s="391">
        <v>6200</v>
      </c>
      <c r="R53" s="391"/>
      <c r="S53" s="391"/>
      <c r="T53" s="391"/>
      <c r="U53" s="391"/>
      <c r="V53" s="391">
        <v>1623</v>
      </c>
      <c r="W53" s="391">
        <v>3702</v>
      </c>
      <c r="X53">
        <v>3000</v>
      </c>
      <c r="Y53" s="184">
        <f t="shared" si="13"/>
        <v>4850</v>
      </c>
    </row>
    <row r="54" spans="1:25" ht="36">
      <c r="A54" s="236"/>
      <c r="B54" s="87" t="s">
        <v>320</v>
      </c>
      <c r="C54" s="46" t="s">
        <v>14</v>
      </c>
      <c r="D54" s="46" t="s">
        <v>19</v>
      </c>
      <c r="E54" s="46" t="s">
        <v>114</v>
      </c>
      <c r="F54" s="46" t="s">
        <v>46</v>
      </c>
      <c r="G54" s="46" t="s">
        <v>66</v>
      </c>
      <c r="H54" s="46" t="s">
        <v>112</v>
      </c>
      <c r="I54" s="46" t="s">
        <v>16</v>
      </c>
      <c r="J54" s="46" t="s">
        <v>347</v>
      </c>
      <c r="K54" s="64">
        <f>650+1000</f>
        <v>1650</v>
      </c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>
        <v>945</v>
      </c>
      <c r="W54" s="391">
        <v>0</v>
      </c>
      <c r="X54">
        <v>2200</v>
      </c>
      <c r="Y54" s="184">
        <f t="shared" si="13"/>
        <v>3850</v>
      </c>
    </row>
    <row r="55" spans="1:25" ht="12.75" hidden="1">
      <c r="A55" s="236" t="s">
        <v>80</v>
      </c>
      <c r="B55" s="328" t="s">
        <v>81</v>
      </c>
      <c r="C55" s="44" t="s">
        <v>14</v>
      </c>
      <c r="D55" s="44" t="s">
        <v>19</v>
      </c>
      <c r="E55" s="44" t="s">
        <v>82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49">
        <f>K56+K57+K59+K60+K61+K62</f>
        <v>3540</v>
      </c>
      <c r="L55" s="233">
        <f aca="true" t="shared" si="14" ref="L55:U55">L56+L57+L58+L59+L60+L61+L62</f>
        <v>0</v>
      </c>
      <c r="M55" s="233">
        <f t="shared" si="14"/>
        <v>0</v>
      </c>
      <c r="N55" s="233">
        <f t="shared" si="14"/>
        <v>0</v>
      </c>
      <c r="O55" s="233">
        <f t="shared" si="14"/>
        <v>0</v>
      </c>
      <c r="P55" s="233">
        <f t="shared" si="14"/>
        <v>0</v>
      </c>
      <c r="Q55" s="233">
        <f t="shared" si="14"/>
        <v>0</v>
      </c>
      <c r="R55" s="233">
        <f t="shared" si="14"/>
        <v>0</v>
      </c>
      <c r="S55" s="233">
        <f t="shared" si="14"/>
        <v>0</v>
      </c>
      <c r="T55" s="233">
        <f t="shared" si="14"/>
        <v>0</v>
      </c>
      <c r="U55" s="233">
        <f t="shared" si="14"/>
        <v>0</v>
      </c>
      <c r="V55" s="233">
        <v>3100</v>
      </c>
      <c r="W55" s="233">
        <v>3701</v>
      </c>
      <c r="Y55" s="184">
        <f t="shared" si="13"/>
        <v>3540</v>
      </c>
    </row>
    <row r="56" spans="1:25" ht="25.5" hidden="1">
      <c r="A56" s="325" t="s">
        <v>288</v>
      </c>
      <c r="B56" s="372" t="s">
        <v>274</v>
      </c>
      <c r="C56" s="371" t="s">
        <v>26</v>
      </c>
      <c r="D56" s="371" t="s">
        <v>19</v>
      </c>
      <c r="E56" s="371" t="s">
        <v>82</v>
      </c>
      <c r="F56" s="371" t="s">
        <v>42</v>
      </c>
      <c r="G56" s="371" t="s">
        <v>14</v>
      </c>
      <c r="H56" s="371" t="s">
        <v>20</v>
      </c>
      <c r="I56" s="371" t="s">
        <v>16</v>
      </c>
      <c r="J56" s="371" t="s">
        <v>272</v>
      </c>
      <c r="K56" s="249">
        <v>20</v>
      </c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>
        <v>47</v>
      </c>
      <c r="Y56" s="184">
        <f t="shared" si="13"/>
        <v>20</v>
      </c>
    </row>
    <row r="57" spans="1:25" ht="51" hidden="1">
      <c r="A57" s="325" t="s">
        <v>289</v>
      </c>
      <c r="B57" s="372" t="s">
        <v>275</v>
      </c>
      <c r="C57" s="371" t="s">
        <v>26</v>
      </c>
      <c r="D57" s="371" t="s">
        <v>19</v>
      </c>
      <c r="E57" s="371" t="s">
        <v>82</v>
      </c>
      <c r="F57" s="371" t="s">
        <v>46</v>
      </c>
      <c r="G57" s="371" t="s">
        <v>14</v>
      </c>
      <c r="H57" s="371" t="s">
        <v>20</v>
      </c>
      <c r="I57" s="371" t="s">
        <v>16</v>
      </c>
      <c r="J57" s="371" t="s">
        <v>272</v>
      </c>
      <c r="K57" s="249">
        <v>30</v>
      </c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>
        <v>65</v>
      </c>
      <c r="Y57" s="184">
        <f t="shared" si="13"/>
        <v>30</v>
      </c>
    </row>
    <row r="58" spans="1:25" ht="38.25" hidden="1">
      <c r="A58" s="325" t="s">
        <v>290</v>
      </c>
      <c r="B58" s="372" t="s">
        <v>336</v>
      </c>
      <c r="C58" s="371" t="s">
        <v>14</v>
      </c>
      <c r="D58" s="371" t="s">
        <v>19</v>
      </c>
      <c r="E58" s="371" t="s">
        <v>82</v>
      </c>
      <c r="F58" s="371" t="s">
        <v>52</v>
      </c>
      <c r="G58" s="371" t="s">
        <v>14</v>
      </c>
      <c r="H58" s="371" t="s">
        <v>20</v>
      </c>
      <c r="I58" s="371" t="s">
        <v>16</v>
      </c>
      <c r="J58" s="371" t="s">
        <v>272</v>
      </c>
      <c r="K58" s="249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>
        <v>2</v>
      </c>
      <c r="Y58" s="184">
        <f t="shared" si="13"/>
        <v>0</v>
      </c>
    </row>
    <row r="59" spans="1:25" ht="38.25" hidden="1">
      <c r="A59" s="325"/>
      <c r="B59" s="372" t="s">
        <v>337</v>
      </c>
      <c r="C59" s="371" t="s">
        <v>14</v>
      </c>
      <c r="D59" s="371" t="s">
        <v>19</v>
      </c>
      <c r="E59" s="371" t="s">
        <v>82</v>
      </c>
      <c r="F59" s="371" t="s">
        <v>338</v>
      </c>
      <c r="G59" s="371" t="s">
        <v>85</v>
      </c>
      <c r="H59" s="371" t="s">
        <v>20</v>
      </c>
      <c r="I59" s="371" t="s">
        <v>16</v>
      </c>
      <c r="J59" s="371" t="s">
        <v>272</v>
      </c>
      <c r="K59" s="249">
        <v>30</v>
      </c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>
        <v>115</v>
      </c>
      <c r="Y59" s="184">
        <f t="shared" si="13"/>
        <v>30</v>
      </c>
    </row>
    <row r="60" spans="1:25" ht="51" hidden="1">
      <c r="A60" s="325" t="s">
        <v>291</v>
      </c>
      <c r="B60" s="372" t="s">
        <v>276</v>
      </c>
      <c r="C60" s="371" t="s">
        <v>14</v>
      </c>
      <c r="D60" s="371" t="s">
        <v>19</v>
      </c>
      <c r="E60" s="371" t="s">
        <v>82</v>
      </c>
      <c r="F60" s="371" t="s">
        <v>277</v>
      </c>
      <c r="G60" s="371" t="s">
        <v>14</v>
      </c>
      <c r="H60" s="371" t="s">
        <v>20</v>
      </c>
      <c r="I60" s="371" t="s">
        <v>16</v>
      </c>
      <c r="J60" s="371" t="s">
        <v>272</v>
      </c>
      <c r="K60" s="249">
        <v>30</v>
      </c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Y60" s="184">
        <f t="shared" si="13"/>
        <v>30</v>
      </c>
    </row>
    <row r="61" spans="1:25" ht="25.5" hidden="1">
      <c r="A61" s="325" t="s">
        <v>292</v>
      </c>
      <c r="B61" s="372" t="s">
        <v>278</v>
      </c>
      <c r="C61" s="371" t="s">
        <v>335</v>
      </c>
      <c r="D61" s="371" t="s">
        <v>19</v>
      </c>
      <c r="E61" s="371" t="s">
        <v>82</v>
      </c>
      <c r="F61" s="371" t="s">
        <v>279</v>
      </c>
      <c r="G61" s="371" t="s">
        <v>14</v>
      </c>
      <c r="H61" s="371" t="s">
        <v>20</v>
      </c>
      <c r="I61" s="371" t="s">
        <v>16</v>
      </c>
      <c r="J61" s="371" t="s">
        <v>272</v>
      </c>
      <c r="K61" s="249">
        <v>2430</v>
      </c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  <c r="Y61" s="184">
        <f t="shared" si="13"/>
        <v>2430</v>
      </c>
    </row>
    <row r="62" spans="1:25" ht="42.75" customHeight="1" hidden="1">
      <c r="A62" s="325" t="s">
        <v>293</v>
      </c>
      <c r="B62" s="372" t="s">
        <v>328</v>
      </c>
      <c r="C62" s="371" t="s">
        <v>14</v>
      </c>
      <c r="D62" s="371" t="s">
        <v>19</v>
      </c>
      <c r="E62" s="371" t="s">
        <v>82</v>
      </c>
      <c r="F62" s="371" t="s">
        <v>158</v>
      </c>
      <c r="G62" s="371" t="s">
        <v>14</v>
      </c>
      <c r="H62" s="371" t="s">
        <v>15</v>
      </c>
      <c r="I62" s="371" t="s">
        <v>16</v>
      </c>
      <c r="J62" s="371" t="s">
        <v>272</v>
      </c>
      <c r="K62" s="249">
        <v>1000</v>
      </c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Y62" s="184">
        <f t="shared" si="13"/>
        <v>1000</v>
      </c>
    </row>
    <row r="63" spans="1:25" ht="25.5" hidden="1">
      <c r="A63" s="236" t="s">
        <v>111</v>
      </c>
      <c r="B63" s="328" t="s">
        <v>260</v>
      </c>
      <c r="C63" s="44" t="s">
        <v>66</v>
      </c>
      <c r="D63" s="44" t="s">
        <v>19</v>
      </c>
      <c r="E63" s="44" t="s">
        <v>84</v>
      </c>
      <c r="F63" s="44" t="s">
        <v>38</v>
      </c>
      <c r="G63" s="44" t="s">
        <v>159</v>
      </c>
      <c r="H63" s="44" t="s">
        <v>38</v>
      </c>
      <c r="I63" s="44" t="s">
        <v>16</v>
      </c>
      <c r="J63" s="44" t="s">
        <v>86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49">
        <v>178.5</v>
      </c>
      <c r="W63" s="249">
        <v>207</v>
      </c>
      <c r="Y63" s="184">
        <f t="shared" si="13"/>
        <v>0</v>
      </c>
    </row>
    <row r="64" spans="1:25" ht="12.75" hidden="1">
      <c r="A64" s="236" t="s">
        <v>87</v>
      </c>
      <c r="B64" s="369" t="s">
        <v>88</v>
      </c>
      <c r="C64" s="44" t="s">
        <v>14</v>
      </c>
      <c r="D64" s="44" t="s">
        <v>89</v>
      </c>
      <c r="E64" s="44" t="s">
        <v>15</v>
      </c>
      <c r="F64" s="44" t="s">
        <v>15</v>
      </c>
      <c r="G64" s="44" t="s">
        <v>14</v>
      </c>
      <c r="H64" s="44" t="s">
        <v>15</v>
      </c>
      <c r="I64" s="44" t="s">
        <v>16</v>
      </c>
      <c r="J64" s="44" t="s">
        <v>14</v>
      </c>
      <c r="K64" s="233">
        <f>K65+K121</f>
        <v>82093.8</v>
      </c>
      <c r="L64" s="233" t="e">
        <f aca="true" t="shared" si="15" ref="L64:W64">L66+L79+L103+L119</f>
        <v>#REF!</v>
      </c>
      <c r="M64" s="233" t="e">
        <f t="shared" si="15"/>
        <v>#REF!</v>
      </c>
      <c r="N64" s="233" t="e">
        <f t="shared" si="15"/>
        <v>#REF!</v>
      </c>
      <c r="O64" s="233" t="e">
        <f t="shared" si="15"/>
        <v>#REF!</v>
      </c>
      <c r="P64" s="233" t="e">
        <f t="shared" si="15"/>
        <v>#REF!</v>
      </c>
      <c r="Q64" s="233" t="e">
        <f t="shared" si="15"/>
        <v>#REF!</v>
      </c>
      <c r="R64" s="233" t="e">
        <f t="shared" si="15"/>
        <v>#REF!</v>
      </c>
      <c r="S64" s="233" t="e">
        <f t="shared" si="15"/>
        <v>#REF!</v>
      </c>
      <c r="T64" s="233" t="e">
        <f t="shared" si="15"/>
        <v>#REF!</v>
      </c>
      <c r="U64" s="233" t="e">
        <f t="shared" si="15"/>
        <v>#REF!</v>
      </c>
      <c r="V64" s="233" t="e">
        <f t="shared" si="15"/>
        <v>#REF!</v>
      </c>
      <c r="W64" s="233" t="e">
        <f t="shared" si="15"/>
        <v>#REF!</v>
      </c>
      <c r="Y64" s="184">
        <f t="shared" si="13"/>
        <v>82093.8</v>
      </c>
    </row>
    <row r="65" spans="1:25" ht="24" hidden="1">
      <c r="A65" s="321"/>
      <c r="B65" s="105" t="s">
        <v>90</v>
      </c>
      <c r="C65" s="44" t="s">
        <v>14</v>
      </c>
      <c r="D65" s="44" t="s">
        <v>89</v>
      </c>
      <c r="E65" s="44" t="s">
        <v>23</v>
      </c>
      <c r="F65" s="44" t="s">
        <v>15</v>
      </c>
      <c r="G65" s="44" t="s">
        <v>14</v>
      </c>
      <c r="H65" s="44" t="s">
        <v>15</v>
      </c>
      <c r="I65" s="44" t="s">
        <v>16</v>
      </c>
      <c r="J65" s="44" t="s">
        <v>14</v>
      </c>
      <c r="K65" s="233">
        <f>K66+K70+K79+K100</f>
        <v>80330.8</v>
      </c>
      <c r="L65" s="233" t="e">
        <f aca="true" t="shared" si="16" ref="L65:W65">L66+L79</f>
        <v>#REF!</v>
      </c>
      <c r="M65" s="233" t="e">
        <f t="shared" si="16"/>
        <v>#REF!</v>
      </c>
      <c r="N65" s="233" t="e">
        <f t="shared" si="16"/>
        <v>#REF!</v>
      </c>
      <c r="O65" s="233" t="e">
        <f t="shared" si="16"/>
        <v>#REF!</v>
      </c>
      <c r="P65" s="233" t="e">
        <f t="shared" si="16"/>
        <v>#REF!</v>
      </c>
      <c r="Q65" s="233" t="e">
        <f t="shared" si="16"/>
        <v>#REF!</v>
      </c>
      <c r="R65" s="233" t="e">
        <f t="shared" si="16"/>
        <v>#REF!</v>
      </c>
      <c r="S65" s="233" t="e">
        <f t="shared" si="16"/>
        <v>#REF!</v>
      </c>
      <c r="T65" s="233" t="e">
        <f t="shared" si="16"/>
        <v>#REF!</v>
      </c>
      <c r="U65" s="233" t="e">
        <f t="shared" si="16"/>
        <v>#REF!</v>
      </c>
      <c r="V65" s="233" t="e">
        <f t="shared" si="16"/>
        <v>#REF!</v>
      </c>
      <c r="W65" s="233" t="e">
        <f t="shared" si="16"/>
        <v>#REF!</v>
      </c>
      <c r="Y65" s="184">
        <f t="shared" si="13"/>
        <v>80330.8</v>
      </c>
    </row>
    <row r="66" spans="1:25" ht="12.75" hidden="1">
      <c r="A66" s="329" t="s">
        <v>17</v>
      </c>
      <c r="B66" s="105" t="s">
        <v>161</v>
      </c>
      <c r="C66" s="44" t="s">
        <v>14</v>
      </c>
      <c r="D66" s="44" t="s">
        <v>89</v>
      </c>
      <c r="E66" s="44" t="s">
        <v>23</v>
      </c>
      <c r="F66" s="44" t="s">
        <v>20</v>
      </c>
      <c r="G66" s="44" t="s">
        <v>264</v>
      </c>
      <c r="H66" s="44" t="s">
        <v>15</v>
      </c>
      <c r="I66" s="44" t="s">
        <v>16</v>
      </c>
      <c r="J66" s="44" t="s">
        <v>91</v>
      </c>
      <c r="K66" s="249">
        <f>K68</f>
        <v>77827</v>
      </c>
      <c r="L66" s="249" t="e">
        <f>L67+L68+#REF!</f>
        <v>#REF!</v>
      </c>
      <c r="M66" s="249" t="e">
        <f>M67+M68+#REF!</f>
        <v>#REF!</v>
      </c>
      <c r="N66" s="249" t="e">
        <f>N67+N68+#REF!</f>
        <v>#REF!</v>
      </c>
      <c r="O66" s="249" t="e">
        <f>O67+O68+#REF!</f>
        <v>#REF!</v>
      </c>
      <c r="P66" s="249" t="e">
        <f>P67+P68+#REF!</f>
        <v>#REF!</v>
      </c>
      <c r="Q66" s="249" t="e">
        <f>Q67+Q68+#REF!</f>
        <v>#REF!</v>
      </c>
      <c r="R66" s="249" t="e">
        <f>R67+R68+#REF!</f>
        <v>#REF!</v>
      </c>
      <c r="S66" s="249" t="e">
        <f>S67+S68+#REF!</f>
        <v>#REF!</v>
      </c>
      <c r="T66" s="249" t="e">
        <f>T67+T68+#REF!</f>
        <v>#REF!</v>
      </c>
      <c r="U66" s="249" t="e">
        <f>U67+U68+#REF!</f>
        <v>#REF!</v>
      </c>
      <c r="V66" s="249" t="e">
        <f>V67+V68+#REF!</f>
        <v>#REF!</v>
      </c>
      <c r="W66" s="249" t="e">
        <f>W67+W68+#REF!</f>
        <v>#REF!</v>
      </c>
      <c r="Y66" s="184">
        <f t="shared" si="13"/>
        <v>77827</v>
      </c>
    </row>
    <row r="67" spans="1:25" ht="24" hidden="1">
      <c r="A67" s="325" t="s">
        <v>102</v>
      </c>
      <c r="B67" s="135" t="s">
        <v>160</v>
      </c>
      <c r="C67" s="371" t="s">
        <v>14</v>
      </c>
      <c r="D67" s="371" t="s">
        <v>89</v>
      </c>
      <c r="E67" s="371" t="s">
        <v>23</v>
      </c>
      <c r="F67" s="371" t="s">
        <v>20</v>
      </c>
      <c r="G67" s="371" t="s">
        <v>27</v>
      </c>
      <c r="H67" s="371" t="s">
        <v>112</v>
      </c>
      <c r="I67" s="371" t="s">
        <v>16</v>
      </c>
      <c r="J67" s="371" t="s">
        <v>91</v>
      </c>
      <c r="K67" s="249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Y67" s="184">
        <f t="shared" si="13"/>
        <v>0</v>
      </c>
    </row>
    <row r="68" spans="1:25" ht="22.5" customHeight="1" hidden="1">
      <c r="A68" s="325" t="s">
        <v>21</v>
      </c>
      <c r="B68" s="135" t="s">
        <v>321</v>
      </c>
      <c r="C68" s="371" t="s">
        <v>270</v>
      </c>
      <c r="D68" s="371" t="s">
        <v>89</v>
      </c>
      <c r="E68" s="371" t="s">
        <v>23</v>
      </c>
      <c r="F68" s="371" t="s">
        <v>20</v>
      </c>
      <c r="G68" s="371" t="s">
        <v>264</v>
      </c>
      <c r="H68" s="371" t="s">
        <v>38</v>
      </c>
      <c r="I68" s="371" t="s">
        <v>16</v>
      </c>
      <c r="J68" s="371" t="s">
        <v>91</v>
      </c>
      <c r="K68" s="361">
        <v>77827</v>
      </c>
      <c r="L68" s="391">
        <f>14236+2200</f>
        <v>16436</v>
      </c>
      <c r="M68" s="391">
        <f>14237+392</f>
        <v>14629</v>
      </c>
      <c r="N68" s="391">
        <f>14237+261</f>
        <v>14498</v>
      </c>
      <c r="O68" s="391">
        <f>14237+426</f>
        <v>14663</v>
      </c>
      <c r="P68" s="391">
        <f>L68+M68+N68+O68</f>
        <v>60226</v>
      </c>
      <c r="Q68" s="391"/>
      <c r="R68" s="391"/>
      <c r="S68" s="391"/>
      <c r="T68" s="391"/>
      <c r="U68" s="391"/>
      <c r="V68" s="391">
        <v>78861</v>
      </c>
      <c r="W68" s="391">
        <v>81227</v>
      </c>
      <c r="Y68" s="184">
        <f t="shared" si="13"/>
        <v>77827</v>
      </c>
    </row>
    <row r="69" spans="1:25" ht="22.5" customHeight="1">
      <c r="A69" s="325"/>
      <c r="B69" s="135" t="s">
        <v>371</v>
      </c>
      <c r="C69" s="371"/>
      <c r="D69" s="371"/>
      <c r="E69" s="371"/>
      <c r="F69" s="371"/>
      <c r="G69" s="371"/>
      <c r="H69" s="371"/>
      <c r="I69" s="371"/>
      <c r="J69" s="371"/>
      <c r="K69" s="361">
        <v>1763</v>
      </c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>
        <v>50</v>
      </c>
      <c r="Y69" s="184">
        <f t="shared" si="13"/>
        <v>1813</v>
      </c>
    </row>
    <row r="70" spans="1:25" ht="18.75" customHeight="1" hidden="1">
      <c r="A70" s="325"/>
      <c r="B70" s="402" t="s">
        <v>360</v>
      </c>
      <c r="C70" s="403" t="s">
        <v>14</v>
      </c>
      <c r="D70" s="403" t="s">
        <v>89</v>
      </c>
      <c r="E70" s="403" t="s">
        <v>23</v>
      </c>
      <c r="F70" s="403" t="s">
        <v>23</v>
      </c>
      <c r="G70" s="403" t="s">
        <v>14</v>
      </c>
      <c r="H70" s="403" t="s">
        <v>15</v>
      </c>
      <c r="I70" s="403" t="s">
        <v>16</v>
      </c>
      <c r="J70" s="403" t="s">
        <v>91</v>
      </c>
      <c r="K70" s="404">
        <f>K71+K72+K73+K74+K75+K76+K77+K78</f>
        <v>0</v>
      </c>
      <c r="L70" s="404">
        <f aca="true" t="shared" si="17" ref="L70:Y70">L71+L72+L73+L74+L75+L76+L77+L78</f>
        <v>0</v>
      </c>
      <c r="M70" s="404">
        <f t="shared" si="17"/>
        <v>0</v>
      </c>
      <c r="N70" s="404">
        <f t="shared" si="17"/>
        <v>0</v>
      </c>
      <c r="O70" s="404">
        <f t="shared" si="17"/>
        <v>0</v>
      </c>
      <c r="P70" s="404">
        <f t="shared" si="17"/>
        <v>0</v>
      </c>
      <c r="Q70" s="404">
        <f t="shared" si="17"/>
        <v>0</v>
      </c>
      <c r="R70" s="404">
        <f t="shared" si="17"/>
        <v>0</v>
      </c>
      <c r="S70" s="404">
        <f t="shared" si="17"/>
        <v>0</v>
      </c>
      <c r="T70" s="404">
        <f t="shared" si="17"/>
        <v>0</v>
      </c>
      <c r="U70" s="404">
        <f t="shared" si="17"/>
        <v>0</v>
      </c>
      <c r="V70" s="404">
        <f t="shared" si="17"/>
        <v>0</v>
      </c>
      <c r="W70" s="404">
        <f t="shared" si="17"/>
        <v>0</v>
      </c>
      <c r="X70" s="413">
        <f t="shared" si="17"/>
        <v>0</v>
      </c>
      <c r="Y70" s="404">
        <f t="shared" si="17"/>
        <v>0</v>
      </c>
    </row>
    <row r="71" spans="1:25" ht="22.5" customHeight="1" hidden="1">
      <c r="A71" s="325"/>
      <c r="B71" s="135" t="s">
        <v>361</v>
      </c>
      <c r="C71" s="371" t="s">
        <v>270</v>
      </c>
      <c r="D71" s="371" t="s">
        <v>89</v>
      </c>
      <c r="E71" s="371" t="s">
        <v>23</v>
      </c>
      <c r="F71" s="371" t="s">
        <v>23</v>
      </c>
      <c r="G71" s="371" t="s">
        <v>265</v>
      </c>
      <c r="H71" s="371" t="s">
        <v>38</v>
      </c>
      <c r="I71" s="371" t="s">
        <v>16</v>
      </c>
      <c r="J71" s="371" t="s">
        <v>91</v>
      </c>
      <c r="K71" s="361">
        <v>0</v>
      </c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Y71" s="184">
        <f>K71+X71</f>
        <v>0</v>
      </c>
    </row>
    <row r="72" spans="1:25" ht="42" customHeight="1" hidden="1">
      <c r="A72" s="325"/>
      <c r="B72" s="135" t="s">
        <v>362</v>
      </c>
      <c r="C72" s="371" t="s">
        <v>270</v>
      </c>
      <c r="D72" s="371" t="s">
        <v>89</v>
      </c>
      <c r="E72" s="371" t="s">
        <v>23</v>
      </c>
      <c r="F72" s="371" t="s">
        <v>23</v>
      </c>
      <c r="G72" s="371" t="s">
        <v>265</v>
      </c>
      <c r="H72" s="371" t="s">
        <v>38</v>
      </c>
      <c r="I72" s="371" t="s">
        <v>16</v>
      </c>
      <c r="J72" s="371" t="s">
        <v>91</v>
      </c>
      <c r="K72" s="361">
        <v>0</v>
      </c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184"/>
      <c r="Y72" s="184">
        <f>K72+X72</f>
        <v>0</v>
      </c>
    </row>
    <row r="73" spans="1:25" ht="42" customHeight="1" hidden="1">
      <c r="A73" s="325"/>
      <c r="B73" s="135" t="s">
        <v>365</v>
      </c>
      <c r="C73" s="371" t="s">
        <v>270</v>
      </c>
      <c r="D73" s="371" t="s">
        <v>89</v>
      </c>
      <c r="E73" s="371" t="s">
        <v>23</v>
      </c>
      <c r="F73" s="371" t="s">
        <v>23</v>
      </c>
      <c r="G73" s="371" t="s">
        <v>265</v>
      </c>
      <c r="H73" s="371" t="s">
        <v>38</v>
      </c>
      <c r="I73" s="371" t="s">
        <v>16</v>
      </c>
      <c r="J73" s="371" t="s">
        <v>91</v>
      </c>
      <c r="K73" s="361">
        <v>0</v>
      </c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184"/>
      <c r="Y73" s="184"/>
    </row>
    <row r="74" spans="1:25" ht="93.75" customHeight="1" hidden="1">
      <c r="A74" s="325"/>
      <c r="B74" s="135" t="s">
        <v>363</v>
      </c>
      <c r="C74" s="371" t="s">
        <v>270</v>
      </c>
      <c r="D74" s="371" t="s">
        <v>89</v>
      </c>
      <c r="E74" s="371" t="s">
        <v>23</v>
      </c>
      <c r="F74" s="371" t="s">
        <v>58</v>
      </c>
      <c r="G74" s="371" t="s">
        <v>364</v>
      </c>
      <c r="H74" s="371" t="s">
        <v>38</v>
      </c>
      <c r="I74" s="371" t="s">
        <v>16</v>
      </c>
      <c r="J74" s="371" t="s">
        <v>91</v>
      </c>
      <c r="K74" s="361">
        <v>0</v>
      </c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184"/>
      <c r="Y74" s="184"/>
    </row>
    <row r="75" spans="1:25" ht="22.5" customHeight="1" hidden="1">
      <c r="A75" s="325"/>
      <c r="B75" s="135"/>
      <c r="C75" s="371"/>
      <c r="D75" s="371"/>
      <c r="E75" s="371"/>
      <c r="F75" s="371"/>
      <c r="G75" s="371"/>
      <c r="H75" s="371"/>
      <c r="I75" s="371"/>
      <c r="J75" s="371"/>
      <c r="K75" s="36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Y75" s="184"/>
    </row>
    <row r="76" spans="1:25" ht="22.5" customHeight="1" hidden="1">
      <c r="A76" s="325"/>
      <c r="B76" s="135"/>
      <c r="C76" s="371"/>
      <c r="D76" s="371"/>
      <c r="E76" s="371"/>
      <c r="F76" s="371"/>
      <c r="G76" s="371"/>
      <c r="H76" s="371"/>
      <c r="I76" s="371"/>
      <c r="J76" s="371"/>
      <c r="K76" s="36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Y76" s="184"/>
    </row>
    <row r="77" spans="1:25" ht="22.5" customHeight="1" hidden="1">
      <c r="A77" s="325"/>
      <c r="B77" s="135"/>
      <c r="C77" s="371"/>
      <c r="D77" s="371"/>
      <c r="E77" s="371"/>
      <c r="F77" s="371"/>
      <c r="G77" s="371"/>
      <c r="H77" s="371"/>
      <c r="I77" s="371"/>
      <c r="J77" s="371"/>
      <c r="K77" s="36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Y77" s="184"/>
    </row>
    <row r="78" spans="1:25" ht="22.5" customHeight="1" hidden="1">
      <c r="A78" s="325"/>
      <c r="B78" s="135"/>
      <c r="C78" s="371"/>
      <c r="D78" s="371"/>
      <c r="E78" s="371"/>
      <c r="F78" s="371"/>
      <c r="G78" s="371"/>
      <c r="H78" s="371"/>
      <c r="I78" s="371"/>
      <c r="J78" s="371"/>
      <c r="K78" s="36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Y78" s="184"/>
    </row>
    <row r="79" spans="1:25" ht="12.75" hidden="1">
      <c r="A79" s="236" t="s">
        <v>36</v>
      </c>
      <c r="B79" s="105" t="s">
        <v>252</v>
      </c>
      <c r="C79" s="44" t="s">
        <v>14</v>
      </c>
      <c r="D79" s="44" t="s">
        <v>89</v>
      </c>
      <c r="E79" s="44" t="s">
        <v>23</v>
      </c>
      <c r="F79" s="44" t="s">
        <v>42</v>
      </c>
      <c r="G79" s="44" t="s">
        <v>14</v>
      </c>
      <c r="H79" s="44" t="s">
        <v>15</v>
      </c>
      <c r="I79" s="44" t="s">
        <v>16</v>
      </c>
      <c r="J79" s="44" t="s">
        <v>91</v>
      </c>
      <c r="K79" s="359"/>
      <c r="L79" s="359">
        <f aca="true" t="shared" si="18" ref="L79:X79">L80+L81+L82+L83+L84+L85+L86+L87+L88+L89+L90+L92+L93+L94+L95+L96+L98+L99</f>
        <v>31475</v>
      </c>
      <c r="M79" s="359">
        <f t="shared" si="18"/>
        <v>49624</v>
      </c>
      <c r="N79" s="359">
        <f t="shared" si="18"/>
        <v>21851</v>
      </c>
      <c r="O79" s="359">
        <f t="shared" si="18"/>
        <v>30945</v>
      </c>
      <c r="P79" s="359">
        <f t="shared" si="18"/>
        <v>133895</v>
      </c>
      <c r="Q79" s="359">
        <f t="shared" si="18"/>
        <v>0</v>
      </c>
      <c r="R79" s="359">
        <f t="shared" si="18"/>
        <v>0</v>
      </c>
      <c r="S79" s="359">
        <f t="shared" si="18"/>
        <v>0</v>
      </c>
      <c r="T79" s="359">
        <f t="shared" si="18"/>
        <v>0</v>
      </c>
      <c r="U79" s="359">
        <f t="shared" si="18"/>
        <v>0</v>
      </c>
      <c r="V79" s="359">
        <f t="shared" si="18"/>
        <v>0</v>
      </c>
      <c r="W79" s="359">
        <f t="shared" si="18"/>
        <v>0</v>
      </c>
      <c r="X79" s="350">
        <f t="shared" si="18"/>
        <v>0</v>
      </c>
      <c r="Y79" s="359"/>
    </row>
    <row r="80" spans="1:25" ht="41.25" customHeight="1" hidden="1">
      <c r="A80" s="41"/>
      <c r="B80" s="93" t="s">
        <v>350</v>
      </c>
      <c r="C80" s="46" t="s">
        <v>270</v>
      </c>
      <c r="D80" s="46" t="s">
        <v>89</v>
      </c>
      <c r="E80" s="46" t="s">
        <v>23</v>
      </c>
      <c r="F80" s="46" t="s">
        <v>42</v>
      </c>
      <c r="G80" s="46" t="s">
        <v>348</v>
      </c>
      <c r="H80" s="46" t="s">
        <v>38</v>
      </c>
      <c r="I80" s="46" t="s">
        <v>16</v>
      </c>
      <c r="J80" s="46" t="s">
        <v>91</v>
      </c>
      <c r="K80" s="361">
        <v>764</v>
      </c>
      <c r="L80" s="391"/>
      <c r="M80" s="391"/>
      <c r="N80" s="391"/>
      <c r="O80" s="391"/>
      <c r="P80" s="393"/>
      <c r="Q80" s="391"/>
      <c r="R80" s="391"/>
      <c r="S80" s="391"/>
      <c r="T80" s="391"/>
      <c r="U80" s="391"/>
      <c r="V80" s="391"/>
      <c r="W80" s="391"/>
      <c r="Y80" s="184"/>
    </row>
    <row r="81" spans="1:25" ht="41.25" customHeight="1" hidden="1">
      <c r="A81" s="41"/>
      <c r="B81" s="93" t="s">
        <v>366</v>
      </c>
      <c r="C81" s="46" t="s">
        <v>270</v>
      </c>
      <c r="D81" s="46" t="s">
        <v>89</v>
      </c>
      <c r="E81" s="46" t="s">
        <v>23</v>
      </c>
      <c r="F81" s="46" t="s">
        <v>42</v>
      </c>
      <c r="G81" s="46" t="s">
        <v>31</v>
      </c>
      <c r="H81" s="46" t="s">
        <v>38</v>
      </c>
      <c r="I81" s="46" t="s">
        <v>16</v>
      </c>
      <c r="J81" s="46" t="s">
        <v>91</v>
      </c>
      <c r="K81" s="361">
        <f>3220+67</f>
        <v>3287</v>
      </c>
      <c r="L81" s="391"/>
      <c r="M81" s="391"/>
      <c r="N81" s="391"/>
      <c r="O81" s="391"/>
      <c r="P81" s="393"/>
      <c r="Q81" s="391"/>
      <c r="R81" s="391"/>
      <c r="S81" s="391"/>
      <c r="T81" s="391"/>
      <c r="U81" s="391"/>
      <c r="V81" s="391"/>
      <c r="W81" s="391"/>
      <c r="Y81" s="184"/>
    </row>
    <row r="82" spans="1:25" ht="120" customHeight="1" hidden="1">
      <c r="A82" s="41" t="s">
        <v>39</v>
      </c>
      <c r="B82" s="92" t="s">
        <v>136</v>
      </c>
      <c r="C82" s="46" t="s">
        <v>270</v>
      </c>
      <c r="D82" s="46" t="s">
        <v>89</v>
      </c>
      <c r="E82" s="46" t="s">
        <v>23</v>
      </c>
      <c r="F82" s="46" t="s">
        <v>42</v>
      </c>
      <c r="G82" s="46" t="s">
        <v>265</v>
      </c>
      <c r="H82" s="46" t="s">
        <v>38</v>
      </c>
      <c r="I82" s="46" t="s">
        <v>16</v>
      </c>
      <c r="J82" s="46" t="s">
        <v>91</v>
      </c>
      <c r="K82" s="360">
        <f>119334-3220</f>
        <v>116114</v>
      </c>
      <c r="L82" s="391">
        <f>23462+1235</f>
        <v>24697</v>
      </c>
      <c r="M82" s="391">
        <f>40804+2148</f>
        <v>42952</v>
      </c>
      <c r="N82" s="391">
        <f>14281+752</f>
        <v>15033</v>
      </c>
      <c r="O82" s="391">
        <f>23462+1234</f>
        <v>24696</v>
      </c>
      <c r="P82" s="391">
        <f aca="true" t="shared" si="19" ref="P82:P118">L82+M82+N82+O82</f>
        <v>107378</v>
      </c>
      <c r="Q82" s="391"/>
      <c r="R82" s="391"/>
      <c r="S82" s="391"/>
      <c r="T82" s="391"/>
      <c r="U82" s="391"/>
      <c r="V82" s="391"/>
      <c r="W82" s="391"/>
      <c r="Y82" s="184"/>
    </row>
    <row r="83" spans="1:25" ht="36" hidden="1">
      <c r="A83" s="41" t="s">
        <v>41</v>
      </c>
      <c r="B83" s="92" t="s">
        <v>137</v>
      </c>
      <c r="C83" s="46" t="s">
        <v>270</v>
      </c>
      <c r="D83" s="46" t="s">
        <v>89</v>
      </c>
      <c r="E83" s="46" t="s">
        <v>23</v>
      </c>
      <c r="F83" s="46" t="s">
        <v>42</v>
      </c>
      <c r="G83" s="46" t="s">
        <v>195</v>
      </c>
      <c r="H83" s="46" t="s">
        <v>38</v>
      </c>
      <c r="I83" s="46" t="s">
        <v>16</v>
      </c>
      <c r="J83" s="46" t="s">
        <v>91</v>
      </c>
      <c r="K83" s="360">
        <v>317</v>
      </c>
      <c r="L83" s="391">
        <f>50+3</f>
        <v>53</v>
      </c>
      <c r="M83" s="391">
        <f>50+3</f>
        <v>53</v>
      </c>
      <c r="N83" s="391">
        <f>50+2</f>
        <v>52</v>
      </c>
      <c r="O83" s="391">
        <f>51+3</f>
        <v>54</v>
      </c>
      <c r="P83" s="391">
        <f t="shared" si="19"/>
        <v>212</v>
      </c>
      <c r="Q83" s="391"/>
      <c r="R83" s="391"/>
      <c r="S83" s="391"/>
      <c r="T83" s="391"/>
      <c r="U83" s="391"/>
      <c r="V83" s="391"/>
      <c r="W83" s="391"/>
      <c r="Y83" s="184"/>
    </row>
    <row r="84" spans="1:25" ht="27.75" customHeight="1" hidden="1">
      <c r="A84" s="41" t="s">
        <v>95</v>
      </c>
      <c r="B84" s="93" t="s">
        <v>139</v>
      </c>
      <c r="C84" s="46" t="s">
        <v>270</v>
      </c>
      <c r="D84" s="46" t="s">
        <v>89</v>
      </c>
      <c r="E84" s="46" t="s">
        <v>23</v>
      </c>
      <c r="F84" s="46" t="s">
        <v>42</v>
      </c>
      <c r="G84" s="46" t="s">
        <v>195</v>
      </c>
      <c r="H84" s="46" t="s">
        <v>38</v>
      </c>
      <c r="I84" s="46" t="s">
        <v>16</v>
      </c>
      <c r="J84" s="46" t="s">
        <v>91</v>
      </c>
      <c r="K84" s="360">
        <v>1170</v>
      </c>
      <c r="L84" s="391">
        <v>12</v>
      </c>
      <c r="M84" s="391">
        <v>12</v>
      </c>
      <c r="N84" s="391">
        <f>11+1</f>
        <v>12</v>
      </c>
      <c r="O84" s="391">
        <f>12+1</f>
        <v>13</v>
      </c>
      <c r="P84" s="393">
        <f t="shared" si="19"/>
        <v>49</v>
      </c>
      <c r="Q84" s="391"/>
      <c r="R84" s="391"/>
      <c r="S84" s="391"/>
      <c r="T84" s="391"/>
      <c r="U84" s="391"/>
      <c r="V84" s="391"/>
      <c r="W84" s="391"/>
      <c r="Y84" s="184"/>
    </row>
    <row r="85" spans="1:25" ht="60" hidden="1">
      <c r="A85" s="41" t="s">
        <v>109</v>
      </c>
      <c r="B85" s="93" t="s">
        <v>140</v>
      </c>
      <c r="C85" s="46" t="s">
        <v>270</v>
      </c>
      <c r="D85" s="46" t="s">
        <v>89</v>
      </c>
      <c r="E85" s="46" t="s">
        <v>23</v>
      </c>
      <c r="F85" s="46" t="s">
        <v>42</v>
      </c>
      <c r="G85" s="46" t="s">
        <v>195</v>
      </c>
      <c r="H85" s="46" t="s">
        <v>38</v>
      </c>
      <c r="I85" s="46" t="s">
        <v>16</v>
      </c>
      <c r="J85" s="46" t="s">
        <v>91</v>
      </c>
      <c r="K85" s="360">
        <v>3912</v>
      </c>
      <c r="L85" s="391">
        <f>473+25</f>
        <v>498</v>
      </c>
      <c r="M85" s="391">
        <f>473+25</f>
        <v>498</v>
      </c>
      <c r="N85" s="391">
        <f>474+25</f>
        <v>499</v>
      </c>
      <c r="O85" s="391">
        <f>474+25</f>
        <v>499</v>
      </c>
      <c r="P85" s="393">
        <f t="shared" si="19"/>
        <v>1994</v>
      </c>
      <c r="Q85" s="391"/>
      <c r="R85" s="391"/>
      <c r="S85" s="391"/>
      <c r="T85" s="391"/>
      <c r="U85" s="391"/>
      <c r="V85" s="391"/>
      <c r="W85" s="391"/>
      <c r="Y85" s="184"/>
    </row>
    <row r="86" spans="1:25" ht="60" hidden="1">
      <c r="A86" s="41" t="s">
        <v>110</v>
      </c>
      <c r="B86" s="93" t="s">
        <v>141</v>
      </c>
      <c r="C86" s="46" t="s">
        <v>270</v>
      </c>
      <c r="D86" s="46" t="s">
        <v>89</v>
      </c>
      <c r="E86" s="46" t="s">
        <v>23</v>
      </c>
      <c r="F86" s="46" t="s">
        <v>42</v>
      </c>
      <c r="G86" s="46" t="s">
        <v>195</v>
      </c>
      <c r="H86" s="46" t="s">
        <v>38</v>
      </c>
      <c r="I86" s="46" t="s">
        <v>16</v>
      </c>
      <c r="J86" s="46" t="s">
        <v>91</v>
      </c>
      <c r="K86" s="360">
        <v>15381</v>
      </c>
      <c r="L86" s="391">
        <f>1622+85</f>
        <v>1707</v>
      </c>
      <c r="M86" s="391">
        <f>1725+91</f>
        <v>1816</v>
      </c>
      <c r="N86" s="391">
        <f>1829+96</f>
        <v>1925</v>
      </c>
      <c r="O86" s="391">
        <f>1310+69</f>
        <v>1379</v>
      </c>
      <c r="P86" s="393">
        <f t="shared" si="19"/>
        <v>6827</v>
      </c>
      <c r="Q86" s="391"/>
      <c r="R86" s="391"/>
      <c r="S86" s="391"/>
      <c r="T86" s="391"/>
      <c r="U86" s="391"/>
      <c r="V86" s="391"/>
      <c r="W86" s="391"/>
      <c r="Y86" s="184"/>
    </row>
    <row r="87" spans="1:25" ht="60" hidden="1">
      <c r="A87" s="41" t="s">
        <v>294</v>
      </c>
      <c r="B87" s="93" t="s">
        <v>142</v>
      </c>
      <c r="C87" s="46" t="s">
        <v>270</v>
      </c>
      <c r="D87" s="46" t="s">
        <v>89</v>
      </c>
      <c r="E87" s="46" t="s">
        <v>23</v>
      </c>
      <c r="F87" s="46" t="s">
        <v>42</v>
      </c>
      <c r="G87" s="46" t="s">
        <v>195</v>
      </c>
      <c r="H87" s="46" t="s">
        <v>38</v>
      </c>
      <c r="I87" s="46" t="s">
        <v>16</v>
      </c>
      <c r="J87" s="46" t="s">
        <v>91</v>
      </c>
      <c r="K87" s="360">
        <v>11987</v>
      </c>
      <c r="L87" s="391">
        <f>1844+97</f>
        <v>1941</v>
      </c>
      <c r="M87" s="391">
        <f>1921+101</f>
        <v>2022</v>
      </c>
      <c r="N87" s="391">
        <f>1998+105</f>
        <v>2103</v>
      </c>
      <c r="O87" s="391">
        <f>1921+101</f>
        <v>2022</v>
      </c>
      <c r="P87" s="393">
        <f t="shared" si="19"/>
        <v>8088</v>
      </c>
      <c r="Q87" s="391"/>
      <c r="R87" s="391"/>
      <c r="S87" s="391"/>
      <c r="T87" s="391"/>
      <c r="U87" s="391"/>
      <c r="V87" s="391"/>
      <c r="W87" s="391"/>
      <c r="Y87" s="184"/>
    </row>
    <row r="88" spans="1:25" ht="48" hidden="1">
      <c r="A88" s="41" t="s">
        <v>295</v>
      </c>
      <c r="B88" s="93" t="s">
        <v>143</v>
      </c>
      <c r="C88" s="46" t="s">
        <v>270</v>
      </c>
      <c r="D88" s="46" t="s">
        <v>89</v>
      </c>
      <c r="E88" s="46" t="s">
        <v>23</v>
      </c>
      <c r="F88" s="46" t="s">
        <v>42</v>
      </c>
      <c r="G88" s="46" t="s">
        <v>195</v>
      </c>
      <c r="H88" s="46" t="s">
        <v>38</v>
      </c>
      <c r="I88" s="46" t="s">
        <v>16</v>
      </c>
      <c r="J88" s="46" t="s">
        <v>91</v>
      </c>
      <c r="K88" s="360">
        <v>6089</v>
      </c>
      <c r="L88" s="391">
        <f>1160+77</f>
        <v>1237</v>
      </c>
      <c r="M88" s="391">
        <f>1160+337</f>
        <v>1497</v>
      </c>
      <c r="N88" s="391">
        <f>1160+294</f>
        <v>1454</v>
      </c>
      <c r="O88" s="391">
        <f>1160+348</f>
        <v>1508</v>
      </c>
      <c r="P88" s="393">
        <f t="shared" si="19"/>
        <v>5696</v>
      </c>
      <c r="Q88" s="391"/>
      <c r="R88" s="391"/>
      <c r="S88" s="391"/>
      <c r="T88" s="391"/>
      <c r="U88" s="391"/>
      <c r="V88" s="391"/>
      <c r="W88" s="391"/>
      <c r="Y88" s="184"/>
    </row>
    <row r="89" spans="1:25" ht="24" hidden="1">
      <c r="A89" s="41" t="s">
        <v>296</v>
      </c>
      <c r="B89" s="93" t="s">
        <v>144</v>
      </c>
      <c r="C89" s="46" t="s">
        <v>270</v>
      </c>
      <c r="D89" s="46" t="s">
        <v>89</v>
      </c>
      <c r="E89" s="46" t="s">
        <v>23</v>
      </c>
      <c r="F89" s="46" t="s">
        <v>42</v>
      </c>
      <c r="G89" s="46" t="s">
        <v>195</v>
      </c>
      <c r="H89" s="46" t="s">
        <v>38</v>
      </c>
      <c r="I89" s="46" t="s">
        <v>16</v>
      </c>
      <c r="J89" s="46" t="s">
        <v>91</v>
      </c>
      <c r="K89" s="360">
        <v>177</v>
      </c>
      <c r="L89" s="391">
        <f>38+2</f>
        <v>40</v>
      </c>
      <c r="M89" s="391">
        <f>37+2</f>
        <v>39</v>
      </c>
      <c r="N89" s="391">
        <f>38+2</f>
        <v>40</v>
      </c>
      <c r="O89" s="391">
        <f>38+2</f>
        <v>40</v>
      </c>
      <c r="P89" s="393">
        <f t="shared" si="19"/>
        <v>159</v>
      </c>
      <c r="Q89" s="391"/>
      <c r="R89" s="391"/>
      <c r="S89" s="391"/>
      <c r="T89" s="391"/>
      <c r="U89" s="391"/>
      <c r="V89" s="391"/>
      <c r="W89" s="391"/>
      <c r="Y89" s="184"/>
    </row>
    <row r="90" spans="1:25" ht="48" hidden="1">
      <c r="A90" s="41" t="s">
        <v>297</v>
      </c>
      <c r="B90" s="93" t="s">
        <v>245</v>
      </c>
      <c r="C90" s="46" t="s">
        <v>270</v>
      </c>
      <c r="D90" s="46" t="s">
        <v>89</v>
      </c>
      <c r="E90" s="46" t="s">
        <v>23</v>
      </c>
      <c r="F90" s="46" t="s">
        <v>42</v>
      </c>
      <c r="G90" s="46" t="s">
        <v>195</v>
      </c>
      <c r="H90" s="46" t="s">
        <v>38</v>
      </c>
      <c r="I90" s="46" t="s">
        <v>16</v>
      </c>
      <c r="J90" s="46" t="s">
        <v>91</v>
      </c>
      <c r="K90" s="360">
        <v>367</v>
      </c>
      <c r="L90" s="391">
        <f>84+5</f>
        <v>89</v>
      </c>
      <c r="M90" s="391">
        <f>85+4</f>
        <v>89</v>
      </c>
      <c r="N90" s="391">
        <f>84+4</f>
        <v>88</v>
      </c>
      <c r="O90" s="391">
        <f>84+5</f>
        <v>89</v>
      </c>
      <c r="P90" s="393">
        <f t="shared" si="19"/>
        <v>355</v>
      </c>
      <c r="Q90" s="391"/>
      <c r="R90" s="391"/>
      <c r="S90" s="391"/>
      <c r="T90" s="391"/>
      <c r="U90" s="391"/>
      <c r="V90" s="391"/>
      <c r="W90" s="391"/>
      <c r="Y90" s="184"/>
    </row>
    <row r="91" spans="1:25" ht="24" hidden="1">
      <c r="A91" s="41" t="s">
        <v>298</v>
      </c>
      <c r="B91" s="93" t="s">
        <v>246</v>
      </c>
      <c r="C91" s="46" t="s">
        <v>270</v>
      </c>
      <c r="D91" s="46" t="s">
        <v>89</v>
      </c>
      <c r="E91" s="46" t="s">
        <v>23</v>
      </c>
      <c r="F91" s="46" t="s">
        <v>42</v>
      </c>
      <c r="G91" s="46" t="s">
        <v>195</v>
      </c>
      <c r="H91" s="46" t="s">
        <v>38</v>
      </c>
      <c r="I91" s="46" t="s">
        <v>16</v>
      </c>
      <c r="J91" s="46" t="s">
        <v>91</v>
      </c>
      <c r="K91" s="359"/>
      <c r="L91" s="391">
        <v>24</v>
      </c>
      <c r="M91" s="391">
        <v>23</v>
      </c>
      <c r="N91" s="391">
        <v>24</v>
      </c>
      <c r="O91" s="391">
        <v>23</v>
      </c>
      <c r="P91" s="393">
        <f t="shared" si="19"/>
        <v>94</v>
      </c>
      <c r="Q91" s="391"/>
      <c r="R91" s="391"/>
      <c r="S91" s="391"/>
      <c r="T91" s="391"/>
      <c r="U91" s="391"/>
      <c r="V91" s="391"/>
      <c r="W91" s="391"/>
      <c r="Y91" s="184"/>
    </row>
    <row r="92" spans="1:25" ht="39" customHeight="1" hidden="1">
      <c r="A92" s="41"/>
      <c r="B92" s="93" t="s">
        <v>345</v>
      </c>
      <c r="C92" s="46" t="s">
        <v>270</v>
      </c>
      <c r="D92" s="46" t="s">
        <v>89</v>
      </c>
      <c r="E92" s="46" t="s">
        <v>23</v>
      </c>
      <c r="F92" s="46" t="s">
        <v>42</v>
      </c>
      <c r="G92" s="46" t="s">
        <v>195</v>
      </c>
      <c r="H92" s="46" t="s">
        <v>38</v>
      </c>
      <c r="I92" s="46" t="s">
        <v>16</v>
      </c>
      <c r="J92" s="46" t="s">
        <v>91</v>
      </c>
      <c r="K92" s="361">
        <v>582</v>
      </c>
      <c r="L92" s="391"/>
      <c r="M92" s="391"/>
      <c r="N92" s="391"/>
      <c r="O92" s="391"/>
      <c r="P92" s="393"/>
      <c r="Q92" s="391"/>
      <c r="R92" s="391"/>
      <c r="S92" s="391"/>
      <c r="T92" s="391"/>
      <c r="U92" s="391"/>
      <c r="V92" s="391"/>
      <c r="W92" s="391"/>
      <c r="Y92" s="184"/>
    </row>
    <row r="93" spans="1:25" ht="27.75" customHeight="1" hidden="1">
      <c r="A93" s="41"/>
      <c r="B93" s="93" t="s">
        <v>351</v>
      </c>
      <c r="C93" s="46" t="s">
        <v>270</v>
      </c>
      <c r="D93" s="46" t="s">
        <v>89</v>
      </c>
      <c r="E93" s="46" t="s">
        <v>23</v>
      </c>
      <c r="F93" s="46" t="s">
        <v>42</v>
      </c>
      <c r="G93" s="46" t="s">
        <v>195</v>
      </c>
      <c r="H93" s="46" t="s">
        <v>38</v>
      </c>
      <c r="I93" s="46" t="s">
        <v>16</v>
      </c>
      <c r="J93" s="46" t="s">
        <v>91</v>
      </c>
      <c r="K93" s="361">
        <v>125</v>
      </c>
      <c r="L93" s="391"/>
      <c r="M93" s="391"/>
      <c r="N93" s="391"/>
      <c r="O93" s="391"/>
      <c r="P93" s="393"/>
      <c r="Q93" s="391"/>
      <c r="R93" s="391"/>
      <c r="S93" s="391"/>
      <c r="T93" s="391"/>
      <c r="U93" s="391"/>
      <c r="V93" s="391"/>
      <c r="W93" s="391"/>
      <c r="Y93" s="184"/>
    </row>
    <row r="94" spans="1:25" ht="86.25" customHeight="1" hidden="1">
      <c r="A94" s="41"/>
      <c r="B94" s="401" t="s">
        <v>359</v>
      </c>
      <c r="C94" s="46" t="s">
        <v>270</v>
      </c>
      <c r="D94" s="46" t="s">
        <v>89</v>
      </c>
      <c r="E94" s="46" t="s">
        <v>23</v>
      </c>
      <c r="F94" s="46" t="s">
        <v>42</v>
      </c>
      <c r="G94" s="46" t="s">
        <v>195</v>
      </c>
      <c r="H94" s="46" t="s">
        <v>38</v>
      </c>
      <c r="I94" s="46" t="s">
        <v>16</v>
      </c>
      <c r="J94" s="46" t="s">
        <v>91</v>
      </c>
      <c r="K94" s="361"/>
      <c r="L94" s="391"/>
      <c r="M94" s="391"/>
      <c r="N94" s="391"/>
      <c r="O94" s="391"/>
      <c r="P94" s="393"/>
      <c r="Q94" s="391"/>
      <c r="R94" s="391"/>
      <c r="S94" s="391"/>
      <c r="T94" s="391"/>
      <c r="U94" s="391"/>
      <c r="V94" s="391"/>
      <c r="W94" s="391"/>
      <c r="Y94" s="184">
        <v>0</v>
      </c>
    </row>
    <row r="95" spans="1:23" ht="134.25" customHeight="1" hidden="1">
      <c r="A95" s="41"/>
      <c r="B95" s="401" t="s">
        <v>358</v>
      </c>
      <c r="C95" s="46" t="s">
        <v>270</v>
      </c>
      <c r="D95" s="46" t="s">
        <v>89</v>
      </c>
      <c r="E95" s="46" t="s">
        <v>23</v>
      </c>
      <c r="F95" s="46" t="s">
        <v>42</v>
      </c>
      <c r="G95" s="46" t="s">
        <v>195</v>
      </c>
      <c r="H95" s="46" t="s">
        <v>38</v>
      </c>
      <c r="I95" s="46" t="s">
        <v>16</v>
      </c>
      <c r="J95" s="46" t="s">
        <v>91</v>
      </c>
      <c r="K95" s="361">
        <f>2325-67</f>
        <v>2258</v>
      </c>
      <c r="L95" s="391"/>
      <c r="M95" s="391"/>
      <c r="N95" s="391"/>
      <c r="O95" s="391"/>
      <c r="P95" s="393"/>
      <c r="Q95" s="391"/>
      <c r="R95" s="391"/>
      <c r="S95" s="391"/>
      <c r="T95" s="391"/>
      <c r="U95" s="391"/>
      <c r="V95" s="391"/>
      <c r="W95" s="391"/>
    </row>
    <row r="96" spans="1:23" ht="36" hidden="1">
      <c r="A96" s="41" t="s">
        <v>299</v>
      </c>
      <c r="B96" s="93" t="s">
        <v>247</v>
      </c>
      <c r="C96" s="46" t="s">
        <v>270</v>
      </c>
      <c r="D96" s="46" t="s">
        <v>89</v>
      </c>
      <c r="E96" s="46" t="s">
        <v>23</v>
      </c>
      <c r="F96" s="46" t="s">
        <v>42</v>
      </c>
      <c r="G96" s="46" t="s">
        <v>322</v>
      </c>
      <c r="H96" s="46" t="s">
        <v>38</v>
      </c>
      <c r="I96" s="46" t="s">
        <v>16</v>
      </c>
      <c r="J96" s="46" t="s">
        <v>91</v>
      </c>
      <c r="K96" s="361">
        <v>846</v>
      </c>
      <c r="L96" s="391">
        <f>385+20</f>
        <v>405</v>
      </c>
      <c r="M96" s="391">
        <v>0</v>
      </c>
      <c r="N96" s="391">
        <v>0</v>
      </c>
      <c r="O96" s="391">
        <v>0</v>
      </c>
      <c r="P96" s="393">
        <f t="shared" si="19"/>
        <v>405</v>
      </c>
      <c r="Q96" s="391"/>
      <c r="R96" s="391"/>
      <c r="S96" s="391"/>
      <c r="T96" s="391"/>
      <c r="U96" s="391"/>
      <c r="V96" s="391"/>
      <c r="W96" s="391"/>
    </row>
    <row r="97" spans="1:23" ht="48" hidden="1">
      <c r="A97" s="41" t="s">
        <v>300</v>
      </c>
      <c r="B97" s="93" t="s">
        <v>248</v>
      </c>
      <c r="C97" s="46" t="s">
        <v>270</v>
      </c>
      <c r="D97" s="46" t="s">
        <v>89</v>
      </c>
      <c r="E97" s="46" t="s">
        <v>23</v>
      </c>
      <c r="F97" s="46" t="s">
        <v>42</v>
      </c>
      <c r="G97" s="46" t="s">
        <v>323</v>
      </c>
      <c r="H97" s="46" t="s">
        <v>38</v>
      </c>
      <c r="I97" s="46" t="s">
        <v>16</v>
      </c>
      <c r="J97" s="46" t="s">
        <v>91</v>
      </c>
      <c r="K97" s="361"/>
      <c r="L97" s="391">
        <v>4</v>
      </c>
      <c r="M97" s="391">
        <v>3</v>
      </c>
      <c r="N97" s="391">
        <v>3</v>
      </c>
      <c r="O97" s="391">
        <v>3</v>
      </c>
      <c r="P97" s="393">
        <f t="shared" si="19"/>
        <v>13</v>
      </c>
      <c r="Q97" s="391"/>
      <c r="R97" s="391"/>
      <c r="S97" s="391"/>
      <c r="T97" s="391"/>
      <c r="U97" s="391"/>
      <c r="V97" s="391"/>
      <c r="W97" s="391"/>
    </row>
    <row r="98" spans="1:23" ht="60" hidden="1">
      <c r="A98" s="41" t="s">
        <v>303</v>
      </c>
      <c r="B98" s="93" t="s">
        <v>280</v>
      </c>
      <c r="C98" s="46" t="s">
        <v>270</v>
      </c>
      <c r="D98" s="46" t="s">
        <v>89</v>
      </c>
      <c r="E98" s="46" t="s">
        <v>23</v>
      </c>
      <c r="F98" s="46" t="s">
        <v>42</v>
      </c>
      <c r="G98" s="46" t="s">
        <v>324</v>
      </c>
      <c r="H98" s="46" t="s">
        <v>38</v>
      </c>
      <c r="I98" s="46" t="s">
        <v>16</v>
      </c>
      <c r="J98" s="46" t="s">
        <v>91</v>
      </c>
      <c r="K98" s="361">
        <v>3507</v>
      </c>
      <c r="L98" s="391"/>
      <c r="M98" s="391"/>
      <c r="N98" s="391"/>
      <c r="O98" s="391"/>
      <c r="P98" s="393"/>
      <c r="Q98" s="391"/>
      <c r="R98" s="391"/>
      <c r="S98" s="391"/>
      <c r="T98" s="391"/>
      <c r="U98" s="391"/>
      <c r="V98" s="391"/>
      <c r="W98" s="391"/>
    </row>
    <row r="99" spans="1:23" ht="36" hidden="1">
      <c r="A99" s="41" t="s">
        <v>302</v>
      </c>
      <c r="B99" s="93" t="s">
        <v>255</v>
      </c>
      <c r="C99" s="46" t="s">
        <v>270</v>
      </c>
      <c r="D99" s="46" t="s">
        <v>89</v>
      </c>
      <c r="E99" s="46" t="s">
        <v>23</v>
      </c>
      <c r="F99" s="46" t="s">
        <v>42</v>
      </c>
      <c r="G99" s="46" t="s">
        <v>200</v>
      </c>
      <c r="H99" s="46" t="s">
        <v>38</v>
      </c>
      <c r="I99" s="46" t="s">
        <v>16</v>
      </c>
      <c r="J99" s="46" t="s">
        <v>91</v>
      </c>
      <c r="K99" s="361">
        <v>2671</v>
      </c>
      <c r="L99" s="391">
        <f>646+150</f>
        <v>796</v>
      </c>
      <c r="M99" s="391">
        <v>646</v>
      </c>
      <c r="N99" s="391">
        <v>645</v>
      </c>
      <c r="O99" s="391">
        <v>645</v>
      </c>
      <c r="P99" s="393">
        <f t="shared" si="19"/>
        <v>2732</v>
      </c>
      <c r="Q99" s="391"/>
      <c r="R99" s="391"/>
      <c r="S99" s="391"/>
      <c r="T99" s="391"/>
      <c r="U99" s="391"/>
      <c r="V99" s="391"/>
      <c r="W99" s="391"/>
    </row>
    <row r="100" spans="1:24" ht="60" hidden="1">
      <c r="A100" s="41" t="s">
        <v>305</v>
      </c>
      <c r="B100" s="93" t="s">
        <v>367</v>
      </c>
      <c r="C100" s="46" t="s">
        <v>270</v>
      </c>
      <c r="D100" s="46" t="s">
        <v>89</v>
      </c>
      <c r="E100" s="46" t="s">
        <v>23</v>
      </c>
      <c r="F100" s="46" t="s">
        <v>77</v>
      </c>
      <c r="G100" s="46" t="s">
        <v>66</v>
      </c>
      <c r="H100" s="46" t="s">
        <v>38</v>
      </c>
      <c r="I100" s="46" t="s">
        <v>16</v>
      </c>
      <c r="J100" s="46" t="s">
        <v>91</v>
      </c>
      <c r="K100" s="252">
        <f>K101+K102</f>
        <v>2503.8</v>
      </c>
      <c r="L100" s="391">
        <v>1187</v>
      </c>
      <c r="M100" s="391">
        <v>1188</v>
      </c>
      <c r="N100" s="391">
        <v>1188</v>
      </c>
      <c r="O100" s="391">
        <v>1188</v>
      </c>
      <c r="P100" s="393">
        <f t="shared" si="19"/>
        <v>4751</v>
      </c>
      <c r="Q100" s="391"/>
      <c r="R100" s="391"/>
      <c r="S100" s="391"/>
      <c r="T100" s="391"/>
      <c r="U100" s="391"/>
      <c r="V100" s="391"/>
      <c r="W100" s="391"/>
      <c r="X100">
        <v>2503800</v>
      </c>
    </row>
    <row r="101" spans="1:24" ht="12.75" hidden="1">
      <c r="A101" s="41"/>
      <c r="B101" s="93" t="s">
        <v>331</v>
      </c>
      <c r="C101" s="46" t="s">
        <v>270</v>
      </c>
      <c r="D101" s="46" t="s">
        <v>89</v>
      </c>
      <c r="E101" s="46" t="s">
        <v>23</v>
      </c>
      <c r="F101" s="46" t="s">
        <v>77</v>
      </c>
      <c r="G101" s="46" t="s">
        <v>66</v>
      </c>
      <c r="H101" s="46" t="s">
        <v>38</v>
      </c>
      <c r="I101" s="46" t="s">
        <v>16</v>
      </c>
      <c r="J101" s="46" t="s">
        <v>91</v>
      </c>
      <c r="K101" s="251">
        <f>801-225</f>
        <v>576</v>
      </c>
      <c r="L101" s="391"/>
      <c r="M101" s="391"/>
      <c r="N101" s="391"/>
      <c r="O101" s="391"/>
      <c r="P101" s="393"/>
      <c r="Q101" s="391"/>
      <c r="R101" s="391"/>
      <c r="S101" s="391"/>
      <c r="T101" s="391"/>
      <c r="U101" s="391"/>
      <c r="V101" s="391"/>
      <c r="W101" s="391"/>
      <c r="X101">
        <v>576000</v>
      </c>
    </row>
    <row r="102" spans="1:24" ht="24" hidden="1">
      <c r="A102" s="41"/>
      <c r="B102" s="93" t="s">
        <v>332</v>
      </c>
      <c r="C102" s="46" t="s">
        <v>270</v>
      </c>
      <c r="D102" s="46" t="s">
        <v>89</v>
      </c>
      <c r="E102" s="46" t="s">
        <v>23</v>
      </c>
      <c r="F102" s="46" t="s">
        <v>77</v>
      </c>
      <c r="G102" s="46" t="s">
        <v>66</v>
      </c>
      <c r="H102" s="46" t="s">
        <v>38</v>
      </c>
      <c r="I102" s="46" t="s">
        <v>16</v>
      </c>
      <c r="J102" s="46" t="s">
        <v>91</v>
      </c>
      <c r="K102" s="251">
        <f>2179-251.2</f>
        <v>1927.8</v>
      </c>
      <c r="L102" s="391"/>
      <c r="M102" s="391"/>
      <c r="N102" s="391"/>
      <c r="O102" s="391"/>
      <c r="P102" s="393"/>
      <c r="Q102" s="391"/>
      <c r="R102" s="391"/>
      <c r="S102" s="391"/>
      <c r="T102" s="391"/>
      <c r="U102" s="391"/>
      <c r="V102" s="391"/>
      <c r="W102" s="391"/>
      <c r="X102">
        <v>1927800</v>
      </c>
    </row>
    <row r="103" spans="1:23" ht="12.75" hidden="1">
      <c r="A103" s="236" t="s">
        <v>44</v>
      </c>
      <c r="B103" s="105" t="s">
        <v>253</v>
      </c>
      <c r="C103" s="69" t="s">
        <v>14</v>
      </c>
      <c r="D103" s="69" t="s">
        <v>89</v>
      </c>
      <c r="E103" s="69" t="s">
        <v>23</v>
      </c>
      <c r="F103" s="69" t="s">
        <v>77</v>
      </c>
      <c r="G103" s="69" t="s">
        <v>14</v>
      </c>
      <c r="H103" s="69" t="s">
        <v>15</v>
      </c>
      <c r="I103" s="69" t="s">
        <v>16</v>
      </c>
      <c r="J103" s="69" t="s">
        <v>14</v>
      </c>
      <c r="K103" s="249">
        <f>K106+K107+K108+K109+K111+K112+K113+K114+K115+K116+K117+K118+K120</f>
        <v>0</v>
      </c>
      <c r="L103" s="249">
        <f>L106+L107+L108+L109+L111+L112+L113+L114+L115+L116+L117</f>
        <v>18420</v>
      </c>
      <c r="M103" s="249">
        <f>M106+M107+M108+M109+M111+M112+M113+M114+M115+M116+M117</f>
        <v>7128</v>
      </c>
      <c r="N103" s="249">
        <f>N106+N107+N108+N109+N111+N112+N113+N114+N115+N116+N117</f>
        <v>4544</v>
      </c>
      <c r="O103" s="249">
        <f>O106+O107+O108+O109+O111+O112+O113+O114+O115+O116+O117</f>
        <v>5419</v>
      </c>
      <c r="P103" s="249">
        <f>P106+P107+P108+P109+P111+P112+P113+P114+P115+P116+P117</f>
        <v>35511</v>
      </c>
      <c r="Q103" s="391"/>
      <c r="R103" s="391"/>
      <c r="S103" s="391"/>
      <c r="T103" s="391"/>
      <c r="U103" s="391"/>
      <c r="V103" s="391"/>
      <c r="W103" s="391"/>
    </row>
    <row r="104" spans="1:23" ht="12.75" hidden="1">
      <c r="A104" s="236"/>
      <c r="B104" s="105"/>
      <c r="C104" s="69"/>
      <c r="D104" s="69"/>
      <c r="E104" s="69"/>
      <c r="F104" s="69"/>
      <c r="G104" s="69"/>
      <c r="H104" s="69"/>
      <c r="I104" s="69"/>
      <c r="J104" s="69"/>
      <c r="K104" s="249"/>
      <c r="L104" s="391"/>
      <c r="M104" s="391"/>
      <c r="N104" s="391"/>
      <c r="O104" s="391"/>
      <c r="P104" s="393">
        <f t="shared" si="19"/>
        <v>0</v>
      </c>
      <c r="Q104" s="391"/>
      <c r="R104" s="391"/>
      <c r="S104" s="391"/>
      <c r="T104" s="391"/>
      <c r="U104" s="391"/>
      <c r="V104" s="391"/>
      <c r="W104" s="391"/>
    </row>
    <row r="105" spans="1:23" ht="12.75" hidden="1">
      <c r="A105" s="236"/>
      <c r="B105" s="93" t="s">
        <v>134</v>
      </c>
      <c r="C105" s="70" t="s">
        <v>14</v>
      </c>
      <c r="D105" s="70" t="s">
        <v>89</v>
      </c>
      <c r="E105" s="70" t="s">
        <v>23</v>
      </c>
      <c r="F105" s="70" t="s">
        <v>77</v>
      </c>
      <c r="G105" s="70" t="s">
        <v>265</v>
      </c>
      <c r="H105" s="70" t="s">
        <v>38</v>
      </c>
      <c r="I105" s="70" t="s">
        <v>16</v>
      </c>
      <c r="J105" s="70" t="s">
        <v>91</v>
      </c>
      <c r="K105" s="326">
        <v>0</v>
      </c>
      <c r="L105" s="391"/>
      <c r="M105" s="391"/>
      <c r="N105" s="391"/>
      <c r="O105" s="391"/>
      <c r="P105" s="393">
        <f t="shared" si="19"/>
        <v>0</v>
      </c>
      <c r="Q105" s="391"/>
      <c r="R105" s="391"/>
      <c r="S105" s="391"/>
      <c r="T105" s="391"/>
      <c r="U105" s="391"/>
      <c r="V105" s="391"/>
      <c r="W105" s="391"/>
    </row>
    <row r="106" spans="1:23" ht="12.75" hidden="1">
      <c r="A106" s="325" t="s">
        <v>306</v>
      </c>
      <c r="B106" s="93" t="s">
        <v>133</v>
      </c>
      <c r="C106" s="70" t="s">
        <v>14</v>
      </c>
      <c r="D106" s="70" t="s">
        <v>89</v>
      </c>
      <c r="E106" s="70" t="s">
        <v>23</v>
      </c>
      <c r="F106" s="70" t="s">
        <v>77</v>
      </c>
      <c r="G106" s="70" t="s">
        <v>265</v>
      </c>
      <c r="H106" s="70" t="s">
        <v>38</v>
      </c>
      <c r="I106" s="70" t="s">
        <v>16</v>
      </c>
      <c r="J106" s="70" t="s">
        <v>91</v>
      </c>
      <c r="K106" s="326">
        <v>0</v>
      </c>
      <c r="L106" s="391">
        <v>15</v>
      </c>
      <c r="M106" s="391">
        <v>15</v>
      </c>
      <c r="N106" s="391">
        <v>15</v>
      </c>
      <c r="O106" s="391">
        <v>15</v>
      </c>
      <c r="P106" s="393">
        <f t="shared" si="19"/>
        <v>60</v>
      </c>
      <c r="Q106" s="391"/>
      <c r="R106" s="391"/>
      <c r="S106" s="391"/>
      <c r="T106" s="391"/>
      <c r="U106" s="391"/>
      <c r="V106" s="391"/>
      <c r="W106" s="391"/>
    </row>
    <row r="107" spans="1:23" ht="12.75" hidden="1">
      <c r="A107" s="325" t="s">
        <v>97</v>
      </c>
      <c r="B107" s="93" t="s">
        <v>236</v>
      </c>
      <c r="C107" s="70" t="s">
        <v>14</v>
      </c>
      <c r="D107" s="70" t="s">
        <v>89</v>
      </c>
      <c r="E107" s="70" t="s">
        <v>23</v>
      </c>
      <c r="F107" s="70" t="s">
        <v>77</v>
      </c>
      <c r="G107" s="70" t="s">
        <v>265</v>
      </c>
      <c r="H107" s="70" t="s">
        <v>38</v>
      </c>
      <c r="I107" s="70" t="s">
        <v>16</v>
      </c>
      <c r="J107" s="70" t="s">
        <v>91</v>
      </c>
      <c r="K107" s="326">
        <v>0</v>
      </c>
      <c r="L107" s="391">
        <v>1986</v>
      </c>
      <c r="M107" s="391">
        <v>1441</v>
      </c>
      <c r="N107" s="391">
        <v>896</v>
      </c>
      <c r="O107" s="391">
        <v>1985</v>
      </c>
      <c r="P107" s="393">
        <f t="shared" si="19"/>
        <v>6308</v>
      </c>
      <c r="Q107" s="391"/>
      <c r="R107" s="391"/>
      <c r="S107" s="391"/>
      <c r="T107" s="391"/>
      <c r="U107" s="391"/>
      <c r="V107" s="391"/>
      <c r="W107" s="391"/>
    </row>
    <row r="108" spans="1:23" ht="24" hidden="1">
      <c r="A108" s="325" t="s">
        <v>237</v>
      </c>
      <c r="B108" s="93" t="s">
        <v>96</v>
      </c>
      <c r="C108" s="70" t="s">
        <v>14</v>
      </c>
      <c r="D108" s="70" t="s">
        <v>89</v>
      </c>
      <c r="E108" s="70" t="s">
        <v>23</v>
      </c>
      <c r="F108" s="70" t="s">
        <v>77</v>
      </c>
      <c r="G108" s="70" t="s">
        <v>265</v>
      </c>
      <c r="H108" s="70" t="s">
        <v>38</v>
      </c>
      <c r="I108" s="70" t="s">
        <v>16</v>
      </c>
      <c r="J108" s="70" t="s">
        <v>91</v>
      </c>
      <c r="K108" s="326">
        <v>0</v>
      </c>
      <c r="L108" s="391">
        <v>13000</v>
      </c>
      <c r="M108" s="391">
        <v>2000</v>
      </c>
      <c r="N108" s="391">
        <v>0</v>
      </c>
      <c r="O108" s="391">
        <v>0</v>
      </c>
      <c r="P108" s="393">
        <f t="shared" si="19"/>
        <v>15000</v>
      </c>
      <c r="Q108" s="391"/>
      <c r="R108" s="391"/>
      <c r="S108" s="391"/>
      <c r="T108" s="391"/>
      <c r="U108" s="391"/>
      <c r="V108" s="391"/>
      <c r="W108" s="391"/>
    </row>
    <row r="109" spans="1:23" ht="24" hidden="1">
      <c r="A109" s="325" t="s">
        <v>307</v>
      </c>
      <c r="B109" s="93" t="s">
        <v>239</v>
      </c>
      <c r="C109" s="70" t="s">
        <v>14</v>
      </c>
      <c r="D109" s="70" t="s">
        <v>89</v>
      </c>
      <c r="E109" s="70" t="s">
        <v>23</v>
      </c>
      <c r="F109" s="70" t="s">
        <v>77</v>
      </c>
      <c r="G109" s="70" t="s">
        <v>265</v>
      </c>
      <c r="H109" s="70" t="s">
        <v>38</v>
      </c>
      <c r="I109" s="70" t="s">
        <v>16</v>
      </c>
      <c r="J109" s="70" t="s">
        <v>91</v>
      </c>
      <c r="K109" s="326">
        <v>0</v>
      </c>
      <c r="L109" s="391">
        <v>875</v>
      </c>
      <c r="M109" s="391">
        <v>875</v>
      </c>
      <c r="N109" s="391">
        <v>875</v>
      </c>
      <c r="O109" s="391">
        <v>875</v>
      </c>
      <c r="P109" s="393">
        <f t="shared" si="19"/>
        <v>3500</v>
      </c>
      <c r="Q109" s="393">
        <v>500</v>
      </c>
      <c r="R109" s="391"/>
      <c r="S109" s="391"/>
      <c r="T109" s="391"/>
      <c r="U109" s="391"/>
      <c r="V109" s="391"/>
      <c r="W109" s="391"/>
    </row>
    <row r="110" spans="1:23" ht="24" hidden="1">
      <c r="A110" s="325"/>
      <c r="B110" s="93" t="s">
        <v>135</v>
      </c>
      <c r="C110" s="70" t="s">
        <v>14</v>
      </c>
      <c r="D110" s="70" t="s">
        <v>89</v>
      </c>
      <c r="E110" s="70" t="s">
        <v>23</v>
      </c>
      <c r="F110" s="70" t="s">
        <v>77</v>
      </c>
      <c r="G110" s="70" t="s">
        <v>265</v>
      </c>
      <c r="H110" s="70" t="s">
        <v>38</v>
      </c>
      <c r="I110" s="70" t="s">
        <v>16</v>
      </c>
      <c r="J110" s="70" t="s">
        <v>91</v>
      </c>
      <c r="K110" s="64"/>
      <c r="L110" s="391"/>
      <c r="M110" s="391"/>
      <c r="N110" s="391"/>
      <c r="O110" s="391"/>
      <c r="P110" s="393">
        <f t="shared" si="19"/>
        <v>0</v>
      </c>
      <c r="Q110" s="391"/>
      <c r="R110" s="391"/>
      <c r="S110" s="391"/>
      <c r="T110" s="391"/>
      <c r="U110" s="391"/>
      <c r="V110" s="391"/>
      <c r="W110" s="391"/>
    </row>
    <row r="111" spans="1:23" ht="36" hidden="1">
      <c r="A111" s="325" t="s">
        <v>249</v>
      </c>
      <c r="B111" s="93" t="s">
        <v>244</v>
      </c>
      <c r="C111" s="70" t="s">
        <v>14</v>
      </c>
      <c r="D111" s="70" t="s">
        <v>89</v>
      </c>
      <c r="E111" s="70" t="s">
        <v>23</v>
      </c>
      <c r="F111" s="70" t="s">
        <v>77</v>
      </c>
      <c r="G111" s="70" t="s">
        <v>265</v>
      </c>
      <c r="H111" s="70" t="s">
        <v>38</v>
      </c>
      <c r="I111" s="70" t="s">
        <v>16</v>
      </c>
      <c r="J111" s="70" t="s">
        <v>91</v>
      </c>
      <c r="K111" s="326">
        <v>0</v>
      </c>
      <c r="L111" s="391">
        <v>56</v>
      </c>
      <c r="M111" s="391">
        <v>55</v>
      </c>
      <c r="N111" s="391">
        <v>56</v>
      </c>
      <c r="O111" s="391">
        <v>56</v>
      </c>
      <c r="P111" s="393">
        <f t="shared" si="19"/>
        <v>223</v>
      </c>
      <c r="Q111" s="391"/>
      <c r="R111" s="391"/>
      <c r="S111" s="391"/>
      <c r="T111" s="391"/>
      <c r="U111" s="391"/>
      <c r="V111" s="391"/>
      <c r="W111" s="391"/>
    </row>
    <row r="112" spans="1:23" ht="36" hidden="1">
      <c r="A112" s="325" t="s">
        <v>250</v>
      </c>
      <c r="B112" s="93" t="s">
        <v>243</v>
      </c>
      <c r="C112" s="70" t="s">
        <v>14</v>
      </c>
      <c r="D112" s="70" t="s">
        <v>89</v>
      </c>
      <c r="E112" s="70" t="s">
        <v>23</v>
      </c>
      <c r="F112" s="70" t="s">
        <v>77</v>
      </c>
      <c r="G112" s="70" t="s">
        <v>265</v>
      </c>
      <c r="H112" s="70" t="s">
        <v>38</v>
      </c>
      <c r="I112" s="70" t="s">
        <v>16</v>
      </c>
      <c r="J112" s="70" t="s">
        <v>91</v>
      </c>
      <c r="K112" s="326">
        <v>0</v>
      </c>
      <c r="L112" s="391">
        <v>245</v>
      </c>
      <c r="M112" s="391">
        <v>246</v>
      </c>
      <c r="N112" s="391">
        <v>246</v>
      </c>
      <c r="O112" s="391">
        <v>246</v>
      </c>
      <c r="P112" s="393">
        <f t="shared" si="19"/>
        <v>983</v>
      </c>
      <c r="Q112" s="391"/>
      <c r="R112" s="391"/>
      <c r="S112" s="391"/>
      <c r="T112" s="391"/>
      <c r="U112" s="391"/>
      <c r="V112" s="391"/>
      <c r="W112" s="391"/>
    </row>
    <row r="113" spans="1:23" ht="36" hidden="1">
      <c r="A113" s="325" t="s">
        <v>251</v>
      </c>
      <c r="B113" s="93" t="s">
        <v>242</v>
      </c>
      <c r="C113" s="70" t="s">
        <v>14</v>
      </c>
      <c r="D113" s="70" t="s">
        <v>89</v>
      </c>
      <c r="E113" s="70" t="s">
        <v>23</v>
      </c>
      <c r="F113" s="70" t="s">
        <v>77</v>
      </c>
      <c r="G113" s="70" t="s">
        <v>265</v>
      </c>
      <c r="H113" s="70" t="s">
        <v>38</v>
      </c>
      <c r="I113" s="70" t="s">
        <v>16</v>
      </c>
      <c r="J113" s="70" t="s">
        <v>91</v>
      </c>
      <c r="K113" s="326">
        <v>0</v>
      </c>
      <c r="L113" s="391">
        <v>1320</v>
      </c>
      <c r="M113" s="391">
        <v>1549</v>
      </c>
      <c r="N113" s="391">
        <v>1548</v>
      </c>
      <c r="O113" s="391">
        <v>1320</v>
      </c>
      <c r="P113" s="393">
        <f t="shared" si="19"/>
        <v>5737</v>
      </c>
      <c r="Q113" s="391"/>
      <c r="R113" s="391"/>
      <c r="S113" s="391"/>
      <c r="T113" s="391"/>
      <c r="U113" s="391"/>
      <c r="V113" s="391"/>
      <c r="W113" s="391"/>
    </row>
    <row r="114" spans="1:23" ht="36" hidden="1">
      <c r="A114" s="325" t="s">
        <v>263</v>
      </c>
      <c r="B114" s="93" t="s">
        <v>241</v>
      </c>
      <c r="C114" s="70" t="s">
        <v>14</v>
      </c>
      <c r="D114" s="70" t="s">
        <v>89</v>
      </c>
      <c r="E114" s="70" t="s">
        <v>23</v>
      </c>
      <c r="F114" s="70" t="s">
        <v>77</v>
      </c>
      <c r="G114" s="70" t="s">
        <v>265</v>
      </c>
      <c r="H114" s="70" t="s">
        <v>38</v>
      </c>
      <c r="I114" s="70" t="s">
        <v>16</v>
      </c>
      <c r="J114" s="70" t="s">
        <v>91</v>
      </c>
      <c r="K114" s="326">
        <v>0</v>
      </c>
      <c r="L114" s="391">
        <v>443</v>
      </c>
      <c r="M114" s="391">
        <v>443</v>
      </c>
      <c r="N114" s="391">
        <v>442</v>
      </c>
      <c r="O114" s="391">
        <v>442</v>
      </c>
      <c r="P114" s="393">
        <f t="shared" si="19"/>
        <v>1770</v>
      </c>
      <c r="Q114" s="391"/>
      <c r="R114" s="391"/>
      <c r="S114" s="391"/>
      <c r="T114" s="391"/>
      <c r="U114" s="391"/>
      <c r="V114" s="391"/>
      <c r="W114" s="391"/>
    </row>
    <row r="115" spans="1:23" ht="36" hidden="1">
      <c r="A115" s="325" t="s">
        <v>308</v>
      </c>
      <c r="B115" s="93" t="s">
        <v>240</v>
      </c>
      <c r="C115" s="70" t="s">
        <v>14</v>
      </c>
      <c r="D115" s="70" t="s">
        <v>89</v>
      </c>
      <c r="E115" s="70" t="s">
        <v>23</v>
      </c>
      <c r="F115" s="70" t="s">
        <v>77</v>
      </c>
      <c r="G115" s="70" t="s">
        <v>265</v>
      </c>
      <c r="H115" s="70" t="s">
        <v>38</v>
      </c>
      <c r="I115" s="70" t="s">
        <v>16</v>
      </c>
      <c r="J115" s="70" t="s">
        <v>91</v>
      </c>
      <c r="K115" s="326">
        <v>0</v>
      </c>
      <c r="L115" s="391">
        <v>35</v>
      </c>
      <c r="M115" s="391">
        <v>59</v>
      </c>
      <c r="N115" s="391">
        <v>21</v>
      </c>
      <c r="O115" s="391">
        <v>35</v>
      </c>
      <c r="P115" s="393">
        <f t="shared" si="19"/>
        <v>150</v>
      </c>
      <c r="Q115" s="391"/>
      <c r="R115" s="391"/>
      <c r="S115" s="391"/>
      <c r="T115" s="391"/>
      <c r="U115" s="391"/>
      <c r="V115" s="391"/>
      <c r="W115" s="391"/>
    </row>
    <row r="116" spans="1:23" ht="33" customHeight="1" hidden="1">
      <c r="A116" s="325" t="s">
        <v>309</v>
      </c>
      <c r="B116" s="135" t="s">
        <v>281</v>
      </c>
      <c r="C116" s="69" t="s">
        <v>14</v>
      </c>
      <c r="D116" s="69" t="s">
        <v>89</v>
      </c>
      <c r="E116" s="69" t="s">
        <v>23</v>
      </c>
      <c r="F116" s="69" t="s">
        <v>77</v>
      </c>
      <c r="G116" s="69" t="s">
        <v>265</v>
      </c>
      <c r="H116" s="69" t="s">
        <v>38</v>
      </c>
      <c r="I116" s="69" t="s">
        <v>16</v>
      </c>
      <c r="J116" s="69" t="s">
        <v>91</v>
      </c>
      <c r="K116" s="233">
        <v>0</v>
      </c>
      <c r="L116" s="391">
        <v>170</v>
      </c>
      <c r="M116" s="391">
        <v>170</v>
      </c>
      <c r="N116" s="391">
        <v>170</v>
      </c>
      <c r="O116" s="391">
        <v>170</v>
      </c>
      <c r="P116" s="393">
        <f t="shared" si="19"/>
        <v>680</v>
      </c>
      <c r="Q116" s="391"/>
      <c r="R116" s="391"/>
      <c r="S116" s="391"/>
      <c r="T116" s="391"/>
      <c r="U116" s="391"/>
      <c r="V116" s="391"/>
      <c r="W116" s="391"/>
    </row>
    <row r="117" spans="1:23" ht="36.75" customHeight="1" hidden="1">
      <c r="A117" s="325" t="s">
        <v>310</v>
      </c>
      <c r="B117" s="135" t="s">
        <v>238</v>
      </c>
      <c r="C117" s="69" t="s">
        <v>14</v>
      </c>
      <c r="D117" s="69" t="s">
        <v>89</v>
      </c>
      <c r="E117" s="69" t="s">
        <v>23</v>
      </c>
      <c r="F117" s="69" t="s">
        <v>77</v>
      </c>
      <c r="G117" s="69" t="s">
        <v>268</v>
      </c>
      <c r="H117" s="69" t="s">
        <v>38</v>
      </c>
      <c r="I117" s="69" t="s">
        <v>16</v>
      </c>
      <c r="J117" s="69" t="s">
        <v>91</v>
      </c>
      <c r="K117" s="233">
        <v>0</v>
      </c>
      <c r="L117" s="391">
        <v>275</v>
      </c>
      <c r="M117" s="391">
        <v>275</v>
      </c>
      <c r="N117" s="391">
        <v>275</v>
      </c>
      <c r="O117" s="391">
        <v>275</v>
      </c>
      <c r="P117" s="393">
        <f t="shared" si="19"/>
        <v>1100</v>
      </c>
      <c r="Q117" s="391"/>
      <c r="R117" s="391"/>
      <c r="S117" s="391"/>
      <c r="T117" s="391"/>
      <c r="U117" s="391"/>
      <c r="V117" s="391"/>
      <c r="W117" s="391"/>
    </row>
    <row r="118" spans="1:23" ht="12.75" hidden="1">
      <c r="A118" s="325" t="s">
        <v>311</v>
      </c>
      <c r="B118" s="135" t="s">
        <v>282</v>
      </c>
      <c r="C118" s="69" t="s">
        <v>14</v>
      </c>
      <c r="D118" s="69" t="s">
        <v>89</v>
      </c>
      <c r="E118" s="69" t="s">
        <v>23</v>
      </c>
      <c r="F118" s="69" t="s">
        <v>77</v>
      </c>
      <c r="G118" s="69" t="s">
        <v>267</v>
      </c>
      <c r="H118" s="69" t="s">
        <v>38</v>
      </c>
      <c r="I118" s="69" t="s">
        <v>16</v>
      </c>
      <c r="J118" s="69" t="s">
        <v>91</v>
      </c>
      <c r="K118" s="233">
        <v>0</v>
      </c>
      <c r="L118" s="391">
        <f>4600+71</f>
        <v>4671</v>
      </c>
      <c r="M118" s="391">
        <f>2500+1300-300</f>
        <v>3500</v>
      </c>
      <c r="N118" s="391">
        <f>2400-100</f>
        <v>2300</v>
      </c>
      <c r="O118" s="391">
        <f>13700-600</f>
        <v>13100</v>
      </c>
      <c r="P118" s="393">
        <f t="shared" si="19"/>
        <v>23571</v>
      </c>
      <c r="Q118" s="391"/>
      <c r="R118" s="391"/>
      <c r="S118" s="391"/>
      <c r="T118" s="391"/>
      <c r="U118" s="391"/>
      <c r="V118" s="391"/>
      <c r="W118" s="391"/>
    </row>
    <row r="119" spans="1:23" ht="36" hidden="1">
      <c r="A119" s="325" t="s">
        <v>312</v>
      </c>
      <c r="B119" s="135" t="s">
        <v>283</v>
      </c>
      <c r="C119" s="69" t="s">
        <v>14</v>
      </c>
      <c r="D119" s="69" t="s">
        <v>89</v>
      </c>
      <c r="E119" s="69" t="s">
        <v>23</v>
      </c>
      <c r="F119" s="69" t="s">
        <v>23</v>
      </c>
      <c r="G119" s="69" t="s">
        <v>266</v>
      </c>
      <c r="H119" s="69" t="s">
        <v>38</v>
      </c>
      <c r="I119" s="69" t="s">
        <v>16</v>
      </c>
      <c r="J119" s="69" t="s">
        <v>91</v>
      </c>
      <c r="K119" s="233">
        <v>0</v>
      </c>
      <c r="L119" s="391"/>
      <c r="M119" s="391"/>
      <c r="N119" s="391"/>
      <c r="O119" s="391"/>
      <c r="P119" s="393"/>
      <c r="Q119" s="391"/>
      <c r="R119" s="391"/>
      <c r="S119" s="391"/>
      <c r="T119" s="391"/>
      <c r="U119" s="391"/>
      <c r="V119" s="391"/>
      <c r="W119" s="391"/>
    </row>
    <row r="120" spans="1:23" ht="36" hidden="1">
      <c r="A120" s="325" t="s">
        <v>313</v>
      </c>
      <c r="B120" s="135" t="s">
        <v>271</v>
      </c>
      <c r="C120" s="69" t="s">
        <v>14</v>
      </c>
      <c r="D120" s="69" t="s">
        <v>89</v>
      </c>
      <c r="E120" s="69" t="s">
        <v>23</v>
      </c>
      <c r="F120" s="69" t="s">
        <v>77</v>
      </c>
      <c r="G120" s="69" t="s">
        <v>284</v>
      </c>
      <c r="H120" s="69" t="s">
        <v>38</v>
      </c>
      <c r="I120" s="69" t="s">
        <v>16</v>
      </c>
      <c r="J120" s="69" t="s">
        <v>91</v>
      </c>
      <c r="K120" s="233">
        <v>0</v>
      </c>
      <c r="L120" s="391"/>
      <c r="M120" s="391"/>
      <c r="N120" s="391"/>
      <c r="O120" s="391"/>
      <c r="P120" s="393"/>
      <c r="Q120" s="391">
        <f>R120+S120+T120</f>
        <v>436320</v>
      </c>
      <c r="R120" s="391">
        <v>299700</v>
      </c>
      <c r="S120" s="391">
        <v>109080</v>
      </c>
      <c r="T120" s="391">
        <v>27540</v>
      </c>
      <c r="U120" s="391"/>
      <c r="V120" s="391"/>
      <c r="W120" s="391"/>
    </row>
    <row r="121" spans="1:23" ht="24" hidden="1">
      <c r="A121" s="325"/>
      <c r="B121" s="135" t="s">
        <v>353</v>
      </c>
      <c r="C121" s="69" t="s">
        <v>14</v>
      </c>
      <c r="D121" s="69" t="s">
        <v>89</v>
      </c>
      <c r="E121" s="69" t="s">
        <v>55</v>
      </c>
      <c r="F121" s="69" t="s">
        <v>38</v>
      </c>
      <c r="G121" s="69" t="s">
        <v>14</v>
      </c>
      <c r="H121" s="69" t="s">
        <v>38</v>
      </c>
      <c r="I121" s="69" t="s">
        <v>16</v>
      </c>
      <c r="J121" s="69" t="s">
        <v>86</v>
      </c>
      <c r="K121" s="249">
        <v>1763</v>
      </c>
      <c r="L121" s="391"/>
      <c r="M121" s="391"/>
      <c r="N121" s="391"/>
      <c r="O121" s="391"/>
      <c r="P121" s="393"/>
      <c r="Q121" s="391"/>
      <c r="R121" s="391"/>
      <c r="S121" s="391"/>
      <c r="T121" s="391"/>
      <c r="U121" s="391"/>
      <c r="V121" s="391"/>
      <c r="W121" s="391"/>
    </row>
    <row r="122" spans="1:25" ht="12.75">
      <c r="A122" s="333"/>
      <c r="B122" s="330" t="s">
        <v>104</v>
      </c>
      <c r="C122" s="44"/>
      <c r="D122" s="44"/>
      <c r="E122" s="44"/>
      <c r="F122" s="44"/>
      <c r="G122" s="44"/>
      <c r="H122" s="44"/>
      <c r="I122" s="44"/>
      <c r="J122" s="44"/>
      <c r="K122" s="249"/>
      <c r="L122" s="249" t="e">
        <f aca="true" t="shared" si="20" ref="L122:W122">L22+L64</f>
        <v>#REF!</v>
      </c>
      <c r="M122" s="249" t="e">
        <f t="shared" si="20"/>
        <v>#REF!</v>
      </c>
      <c r="N122" s="249" t="e">
        <f t="shared" si="20"/>
        <v>#REF!</v>
      </c>
      <c r="O122" s="249" t="e">
        <f t="shared" si="20"/>
        <v>#REF!</v>
      </c>
      <c r="P122" s="249" t="e">
        <f t="shared" si="20"/>
        <v>#REF!</v>
      </c>
      <c r="Q122" s="249" t="e">
        <f t="shared" si="20"/>
        <v>#REF!</v>
      </c>
      <c r="R122" s="249" t="e">
        <f t="shared" si="20"/>
        <v>#REF!</v>
      </c>
      <c r="S122" s="249" t="e">
        <f t="shared" si="20"/>
        <v>#REF!</v>
      </c>
      <c r="T122" s="249" t="e">
        <f t="shared" si="20"/>
        <v>#REF!</v>
      </c>
      <c r="U122" s="249" t="e">
        <f t="shared" si="20"/>
        <v>#REF!</v>
      </c>
      <c r="V122" s="249" t="e">
        <f t="shared" si="20"/>
        <v>#REF!</v>
      </c>
      <c r="W122" s="249" t="e">
        <f t="shared" si="20"/>
        <v>#REF!</v>
      </c>
      <c r="X122" s="249">
        <f>X41+X51+X52+X69</f>
        <v>7386</v>
      </c>
      <c r="Y122" s="249">
        <f>K122+X122</f>
        <v>7386</v>
      </c>
    </row>
  </sheetData>
  <mergeCells count="4">
    <mergeCell ref="C15:J19"/>
    <mergeCell ref="C20:J20"/>
    <mergeCell ref="G3:K3"/>
    <mergeCell ref="G4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16"/>
  <sheetViews>
    <sheetView workbookViewId="0" topLeftCell="B16">
      <pane xSplit="6060" ySplit="1695" topLeftCell="J24" activePane="bottomLeft" state="split"/>
      <selection pane="topLeft" activeCell="P16" sqref="P16"/>
      <selection pane="topRight" activeCell="P10" sqref="P10"/>
      <selection pane="bottomLeft" activeCell="B39" sqref="B39"/>
      <selection pane="bottomRight" activeCell="O28" sqref="O28"/>
    </sheetView>
  </sheetViews>
  <sheetFormatPr defaultColWidth="9.00390625" defaultRowHeight="12.75"/>
  <cols>
    <col min="1" max="1" width="0.12890625" style="0" customWidth="1"/>
    <col min="2" max="2" width="61.75390625" style="358" customWidth="1"/>
    <col min="3" max="3" width="3.875" style="0" customWidth="1"/>
    <col min="4" max="4" width="2.75390625" style="0" customWidth="1"/>
    <col min="5" max="5" width="3.125" style="0" customWidth="1"/>
    <col min="6" max="6" width="3.25390625" style="0" customWidth="1"/>
    <col min="7" max="7" width="4.00390625" style="0" customWidth="1"/>
    <col min="8" max="8" width="4.125" style="0" customWidth="1"/>
    <col min="9" max="9" width="4.875" style="0" customWidth="1"/>
    <col min="10" max="10" width="4.625" style="0" customWidth="1"/>
    <col min="11" max="11" width="13.00390625" style="377" customWidth="1"/>
    <col min="12" max="12" width="9.125" style="210" customWidth="1"/>
  </cols>
  <sheetData>
    <row r="1" spans="1:10" ht="12" customHeight="1" hidden="1">
      <c r="A1" s="1"/>
      <c r="B1" s="362"/>
      <c r="C1" s="2"/>
      <c r="D1" s="2"/>
      <c r="E1" s="2"/>
      <c r="F1" s="2"/>
      <c r="G1" s="2"/>
      <c r="H1" s="2"/>
      <c r="I1" s="2"/>
      <c r="J1" s="2"/>
    </row>
    <row r="2" spans="1:10" ht="12" customHeight="1" hidden="1">
      <c r="A2" s="1"/>
      <c r="B2" s="362"/>
      <c r="C2" s="2"/>
      <c r="D2" s="2"/>
      <c r="E2" s="2"/>
      <c r="F2" s="2"/>
      <c r="G2" s="2"/>
      <c r="H2" s="2"/>
      <c r="I2" s="2"/>
      <c r="J2" s="2"/>
    </row>
    <row r="3" spans="1:11" ht="16.5" customHeight="1" hidden="1">
      <c r="A3" s="1"/>
      <c r="B3" s="362"/>
      <c r="C3" s="2"/>
      <c r="D3" s="2"/>
      <c r="E3" s="2"/>
      <c r="F3" s="2"/>
      <c r="G3" s="448" t="s">
        <v>269</v>
      </c>
      <c r="H3" s="449"/>
      <c r="I3" s="449"/>
      <c r="J3" s="449"/>
      <c r="K3" s="449"/>
    </row>
    <row r="4" spans="1:11" ht="48" customHeight="1" hidden="1">
      <c r="A4" s="1"/>
      <c r="B4" s="362"/>
      <c r="C4" s="2"/>
      <c r="D4" s="2"/>
      <c r="E4" s="2"/>
      <c r="F4" s="2"/>
      <c r="G4" s="450"/>
      <c r="H4" s="449"/>
      <c r="I4" s="449"/>
      <c r="J4" s="449"/>
      <c r="K4" s="449"/>
    </row>
    <row r="5" spans="1:11" ht="13.5" customHeight="1" hidden="1">
      <c r="A5" s="1"/>
      <c r="B5" s="362"/>
      <c r="C5" s="2"/>
      <c r="D5" s="2"/>
      <c r="E5" s="2"/>
      <c r="F5" s="2"/>
      <c r="G5" s="449"/>
      <c r="H5" s="449"/>
      <c r="I5" s="449"/>
      <c r="J5" s="449"/>
      <c r="K5" s="449"/>
    </row>
    <row r="6" spans="1:11" ht="15.75" customHeight="1" hidden="1">
      <c r="A6" s="1"/>
      <c r="B6" s="362"/>
      <c r="C6" s="2"/>
      <c r="D6" s="2"/>
      <c r="E6" s="2"/>
      <c r="F6" s="2"/>
      <c r="G6" s="449"/>
      <c r="H6" s="449"/>
      <c r="I6" s="449"/>
      <c r="J6" s="449"/>
      <c r="K6" s="449"/>
    </row>
    <row r="7" spans="1:11" ht="14.25" customHeight="1" hidden="1">
      <c r="A7" s="1"/>
      <c r="B7" s="362"/>
      <c r="C7" s="2"/>
      <c r="D7" s="2"/>
      <c r="E7" s="2"/>
      <c r="F7" s="2"/>
      <c r="G7" s="2"/>
      <c r="H7" s="146"/>
      <c r="I7" s="146"/>
      <c r="J7" s="146"/>
      <c r="K7" s="378"/>
    </row>
    <row r="8" spans="1:11" ht="13.5" customHeight="1" hidden="1">
      <c r="A8" s="1"/>
      <c r="B8" s="362"/>
      <c r="C8" s="2"/>
      <c r="D8" s="2"/>
      <c r="E8" s="2"/>
      <c r="F8" s="2"/>
      <c r="G8" s="2"/>
      <c r="H8" s="146"/>
      <c r="I8" s="146"/>
      <c r="J8" s="146"/>
      <c r="K8" s="378"/>
    </row>
    <row r="9" spans="1:11" ht="12" customHeight="1" hidden="1">
      <c r="A9" s="1"/>
      <c r="B9" s="362"/>
      <c r="C9" s="2"/>
      <c r="D9" s="2"/>
      <c r="E9" s="2"/>
      <c r="F9" s="2"/>
      <c r="G9" s="2"/>
      <c r="H9" s="146"/>
      <c r="I9" s="146"/>
      <c r="J9" s="146"/>
      <c r="K9" s="378"/>
    </row>
    <row r="10" spans="1:11" ht="20.25" customHeight="1">
      <c r="A10" s="1"/>
      <c r="B10" s="362"/>
      <c r="C10" s="2"/>
      <c r="D10" s="2"/>
      <c r="E10" s="2"/>
      <c r="F10" s="2"/>
      <c r="G10" s="2"/>
      <c r="H10" s="146"/>
      <c r="I10" s="146"/>
      <c r="J10" s="146"/>
      <c r="K10" s="378"/>
    </row>
    <row r="11" spans="1:11" ht="12.75">
      <c r="A11" s="430" t="s">
        <v>329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339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3.5" thickBot="1">
      <c r="A13" s="1"/>
      <c r="B13" s="363"/>
      <c r="C13" s="3"/>
      <c r="D13" s="3"/>
      <c r="E13" s="3"/>
      <c r="F13" s="3"/>
      <c r="G13" s="3"/>
      <c r="H13" s="3"/>
      <c r="I13" s="3"/>
      <c r="J13" s="3"/>
      <c r="K13" s="3"/>
    </row>
    <row r="14" spans="1:11" ht="13.5" hidden="1" thickBot="1">
      <c r="A14" s="1"/>
      <c r="B14" s="362"/>
      <c r="C14" s="1"/>
      <c r="D14" s="1"/>
      <c r="E14" s="1"/>
      <c r="F14" s="1"/>
      <c r="G14" s="1"/>
      <c r="H14" s="1"/>
      <c r="I14" s="1"/>
      <c r="J14" s="1"/>
      <c r="K14" s="379"/>
    </row>
    <row r="15" spans="1:11" ht="12.75">
      <c r="A15" s="4"/>
      <c r="B15" s="364"/>
      <c r="C15" s="439" t="s">
        <v>0</v>
      </c>
      <c r="D15" s="440"/>
      <c r="E15" s="440"/>
      <c r="F15" s="440"/>
      <c r="G15" s="440"/>
      <c r="H15" s="440"/>
      <c r="I15" s="440"/>
      <c r="J15" s="441"/>
      <c r="K15" s="376"/>
    </row>
    <row r="16" spans="1:11" ht="12.75">
      <c r="A16" s="7"/>
      <c r="B16" s="365"/>
      <c r="C16" s="442"/>
      <c r="D16" s="443"/>
      <c r="E16" s="443"/>
      <c r="F16" s="443"/>
      <c r="G16" s="443"/>
      <c r="H16" s="443"/>
      <c r="I16" s="443"/>
      <c r="J16" s="444"/>
      <c r="K16" s="9"/>
    </row>
    <row r="17" spans="1:11" ht="12.75">
      <c r="A17" s="7"/>
      <c r="B17" s="365" t="s">
        <v>1</v>
      </c>
      <c r="C17" s="442"/>
      <c r="D17" s="443"/>
      <c r="E17" s="443"/>
      <c r="F17" s="443"/>
      <c r="G17" s="443"/>
      <c r="H17" s="443"/>
      <c r="I17" s="443"/>
      <c r="J17" s="444"/>
      <c r="K17" s="9" t="s">
        <v>346</v>
      </c>
    </row>
    <row r="18" spans="1:11" ht="12.75">
      <c r="A18" s="7"/>
      <c r="B18" s="365"/>
      <c r="C18" s="442"/>
      <c r="D18" s="443"/>
      <c r="E18" s="443"/>
      <c r="F18" s="443"/>
      <c r="G18" s="443"/>
      <c r="H18" s="443"/>
      <c r="I18" s="443"/>
      <c r="J18" s="444"/>
      <c r="K18" s="9" t="s">
        <v>315</v>
      </c>
    </row>
    <row r="19" spans="1:20" ht="13.5" thickBot="1">
      <c r="A19" s="7"/>
      <c r="B19" s="366"/>
      <c r="C19" s="445"/>
      <c r="D19" s="446"/>
      <c r="E19" s="446"/>
      <c r="F19" s="446"/>
      <c r="G19" s="446"/>
      <c r="H19" s="446"/>
      <c r="I19" s="446"/>
      <c r="J19" s="447"/>
      <c r="K19" s="9"/>
      <c r="L19" s="210" t="s">
        <v>354</v>
      </c>
      <c r="M19" t="s">
        <v>182</v>
      </c>
      <c r="N19" t="s">
        <v>183</v>
      </c>
      <c r="O19" t="s">
        <v>184</v>
      </c>
      <c r="Q19" t="s">
        <v>355</v>
      </c>
      <c r="R19" t="s">
        <v>185</v>
      </c>
      <c r="S19" t="s">
        <v>186</v>
      </c>
      <c r="T19" t="s">
        <v>187</v>
      </c>
    </row>
    <row r="20" spans="1:11" ht="12.75">
      <c r="A20" s="12">
        <v>1</v>
      </c>
      <c r="B20" s="364">
        <v>2</v>
      </c>
      <c r="C20" s="431"/>
      <c r="D20" s="431"/>
      <c r="E20" s="431"/>
      <c r="F20" s="431"/>
      <c r="G20" s="431"/>
      <c r="H20" s="431"/>
      <c r="I20" s="431"/>
      <c r="J20" s="432"/>
      <c r="K20" s="13">
        <v>4</v>
      </c>
    </row>
    <row r="21" spans="1:11" ht="1.5" customHeight="1">
      <c r="A21" s="317"/>
      <c r="B21" s="318"/>
      <c r="C21" s="318" t="s">
        <v>4</v>
      </c>
      <c r="D21" s="318" t="s">
        <v>5</v>
      </c>
      <c r="E21" s="318" t="s">
        <v>6</v>
      </c>
      <c r="F21" s="318" t="s">
        <v>7</v>
      </c>
      <c r="G21" s="318" t="s">
        <v>8</v>
      </c>
      <c r="H21" s="318" t="s">
        <v>9</v>
      </c>
      <c r="I21" s="318" t="s">
        <v>10</v>
      </c>
      <c r="J21" s="318" t="s">
        <v>11</v>
      </c>
      <c r="K21" s="319"/>
    </row>
    <row r="22" spans="1:21" ht="12.75">
      <c r="A22" s="320" t="s">
        <v>12</v>
      </c>
      <c r="B22" s="367" t="s">
        <v>13</v>
      </c>
      <c r="C22" s="44" t="s">
        <v>14</v>
      </c>
      <c r="D22" s="44">
        <v>1</v>
      </c>
      <c r="E22" s="44" t="s">
        <v>15</v>
      </c>
      <c r="F22" s="44" t="s">
        <v>15</v>
      </c>
      <c r="G22" s="44" t="s">
        <v>14</v>
      </c>
      <c r="H22" s="44" t="s">
        <v>15</v>
      </c>
      <c r="I22" s="44" t="s">
        <v>16</v>
      </c>
      <c r="J22" s="44" t="s">
        <v>14</v>
      </c>
      <c r="K22" s="233">
        <f>K23+K30+K37+K41+K48+K50+K51+K52+K55</f>
        <v>98196</v>
      </c>
      <c r="L22" s="399">
        <f>L23+L30+L37+L41+L48+L50+L51+L52+L55</f>
        <v>23533</v>
      </c>
      <c r="M22" s="233">
        <f>M23+M30+M37+M41+M48+M50+M51+M52+M55</f>
        <v>8957</v>
      </c>
      <c r="N22" s="233">
        <f>N23+N30+N37+N41+N48+N50+N51+N52+N55</f>
        <v>7230</v>
      </c>
      <c r="O22" s="233">
        <f>O23+O30+O37+O41+O48+O50+O51+O52+O55</f>
        <v>7346</v>
      </c>
      <c r="P22" s="395">
        <f>M22+N22+O22</f>
        <v>23533</v>
      </c>
      <c r="Q22" s="233">
        <f>Q23+Q30+Q37+Q41+Q48+Q50+Q51+Q52+Q55</f>
        <v>26359</v>
      </c>
      <c r="R22" s="233">
        <f>R23+R30+R37+R41+R48+R50+R51+R52+R55</f>
        <v>12349</v>
      </c>
      <c r="S22" s="233">
        <f>S23+S30+S37+S41+S48+S50+S51+S52+S55</f>
        <v>10130</v>
      </c>
      <c r="T22" s="233">
        <f>T23+T30+T37+T41+T48+T50+T51+T52+T55</f>
        <v>10160</v>
      </c>
      <c r="U22" s="395">
        <f>R22+S22+T22</f>
        <v>32639</v>
      </c>
    </row>
    <row r="23" spans="1:21" ht="12.75">
      <c r="A23" s="320" t="s">
        <v>17</v>
      </c>
      <c r="B23" s="105" t="s">
        <v>18</v>
      </c>
      <c r="C23" s="44" t="s">
        <v>14</v>
      </c>
      <c r="D23" s="44" t="s">
        <v>19</v>
      </c>
      <c r="E23" s="44" t="s">
        <v>20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49">
        <f>K24</f>
        <v>51740</v>
      </c>
      <c r="L23" s="400">
        <f aca="true" t="shared" si="0" ref="L23:T23">L24</f>
        <v>12935</v>
      </c>
      <c r="M23" s="249">
        <f t="shared" si="0"/>
        <v>4311</v>
      </c>
      <c r="N23" s="249">
        <f t="shared" si="0"/>
        <v>4312</v>
      </c>
      <c r="O23" s="249">
        <f t="shared" si="0"/>
        <v>4312</v>
      </c>
      <c r="P23" s="395">
        <f aca="true" t="shared" si="1" ref="P23:P86">M23+N23+O23</f>
        <v>12935</v>
      </c>
      <c r="Q23" s="249">
        <f t="shared" si="0"/>
        <v>12935</v>
      </c>
      <c r="R23" s="249">
        <f t="shared" si="0"/>
        <v>4311</v>
      </c>
      <c r="S23" s="249">
        <f t="shared" si="0"/>
        <v>4312</v>
      </c>
      <c r="T23" s="249">
        <f t="shared" si="0"/>
        <v>4312</v>
      </c>
      <c r="U23" s="395">
        <f aca="true" t="shared" si="2" ref="U23:U86">R23+S23+T23</f>
        <v>12935</v>
      </c>
    </row>
    <row r="24" spans="1:21" ht="12.75" customHeight="1">
      <c r="A24" s="320" t="s">
        <v>21</v>
      </c>
      <c r="B24" s="105" t="s">
        <v>22</v>
      </c>
      <c r="C24" s="44" t="s">
        <v>26</v>
      </c>
      <c r="D24" s="44" t="s">
        <v>19</v>
      </c>
      <c r="E24" s="44" t="s">
        <v>20</v>
      </c>
      <c r="F24" s="44" t="s">
        <v>23</v>
      </c>
      <c r="G24" s="44" t="s">
        <v>14</v>
      </c>
      <c r="H24" s="44" t="s">
        <v>20</v>
      </c>
      <c r="I24" s="44" t="s">
        <v>16</v>
      </c>
      <c r="J24" s="44" t="s">
        <v>24</v>
      </c>
      <c r="K24" s="249">
        <f>K26</f>
        <v>51740</v>
      </c>
      <c r="L24" s="400">
        <f>L26</f>
        <v>12935</v>
      </c>
      <c r="M24" s="249">
        <f>M26</f>
        <v>4311</v>
      </c>
      <c r="N24" s="249">
        <f>N26</f>
        <v>4312</v>
      </c>
      <c r="O24" s="249">
        <f>O26</f>
        <v>4312</v>
      </c>
      <c r="P24" s="395">
        <f t="shared" si="1"/>
        <v>12935</v>
      </c>
      <c r="Q24" s="249">
        <f>Q26</f>
        <v>12935</v>
      </c>
      <c r="R24" s="249">
        <f>R26</f>
        <v>4311</v>
      </c>
      <c r="S24" s="249">
        <f>S26</f>
        <v>4312</v>
      </c>
      <c r="T24" s="249">
        <f>T26</f>
        <v>4312</v>
      </c>
      <c r="U24" s="395">
        <f t="shared" si="2"/>
        <v>12935</v>
      </c>
    </row>
    <row r="25" spans="1:21" ht="0.75" customHeight="1">
      <c r="A25" s="320"/>
      <c r="B25" s="74" t="s">
        <v>25</v>
      </c>
      <c r="C25" s="46" t="s">
        <v>26</v>
      </c>
      <c r="D25" s="46" t="s">
        <v>19</v>
      </c>
      <c r="E25" s="46" t="s">
        <v>20</v>
      </c>
      <c r="F25" s="46" t="s">
        <v>23</v>
      </c>
      <c r="G25" s="46" t="s">
        <v>27</v>
      </c>
      <c r="H25" s="46" t="s">
        <v>20</v>
      </c>
      <c r="I25" s="46" t="s">
        <v>16</v>
      </c>
      <c r="J25" s="46" t="s">
        <v>24</v>
      </c>
      <c r="K25" s="64"/>
      <c r="P25" s="395">
        <f t="shared" si="1"/>
        <v>0</v>
      </c>
      <c r="U25" s="395">
        <f t="shared" si="2"/>
        <v>0</v>
      </c>
    </row>
    <row r="26" spans="1:21" ht="39" customHeight="1">
      <c r="A26" s="77"/>
      <c r="B26" s="74" t="s">
        <v>28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29</v>
      </c>
      <c r="H26" s="46" t="s">
        <v>20</v>
      </c>
      <c r="I26" s="46" t="s">
        <v>16</v>
      </c>
      <c r="J26" s="46" t="s">
        <v>24</v>
      </c>
      <c r="K26" s="64">
        <f>K27+K28</f>
        <v>51740</v>
      </c>
      <c r="L26" s="218">
        <f>L27+L28</f>
        <v>12935</v>
      </c>
      <c r="M26" s="64">
        <f>M27+M28</f>
        <v>4311</v>
      </c>
      <c r="N26" s="64">
        <f>N27+N28</f>
        <v>4312</v>
      </c>
      <c r="O26" s="64">
        <f>O27+O28</f>
        <v>4312</v>
      </c>
      <c r="P26" s="395">
        <f t="shared" si="1"/>
        <v>12935</v>
      </c>
      <c r="Q26" s="64">
        <f>Q27+Q28</f>
        <v>12935</v>
      </c>
      <c r="R26" s="64">
        <f>R27+R28</f>
        <v>4311</v>
      </c>
      <c r="S26" s="64">
        <f>S27+S28</f>
        <v>4312</v>
      </c>
      <c r="T26" s="64">
        <f>T27+T28</f>
        <v>4312</v>
      </c>
      <c r="U26" s="395">
        <f t="shared" si="2"/>
        <v>12935</v>
      </c>
    </row>
    <row r="27" spans="1:21" ht="71.25" customHeight="1">
      <c r="A27" s="77"/>
      <c r="B27" s="74" t="s">
        <v>30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31</v>
      </c>
      <c r="H27" s="46" t="s">
        <v>20</v>
      </c>
      <c r="I27" s="46" t="s">
        <v>16</v>
      </c>
      <c r="J27" s="46" t="s">
        <v>24</v>
      </c>
      <c r="K27" s="64">
        <v>51360</v>
      </c>
      <c r="L27" s="210">
        <v>12840</v>
      </c>
      <c r="M27" s="394">
        <v>4280</v>
      </c>
      <c r="N27" s="394">
        <v>4280</v>
      </c>
      <c r="O27" s="394">
        <v>4280</v>
      </c>
      <c r="P27" s="395">
        <f t="shared" si="1"/>
        <v>12840</v>
      </c>
      <c r="Q27" s="394">
        <v>12840</v>
      </c>
      <c r="R27" s="394">
        <v>4280</v>
      </c>
      <c r="S27" s="394">
        <v>4280</v>
      </c>
      <c r="T27" s="394">
        <v>4280</v>
      </c>
      <c r="U27" s="395">
        <f t="shared" si="2"/>
        <v>12840</v>
      </c>
    </row>
    <row r="28" spans="1:21" ht="62.25" customHeight="1">
      <c r="A28" s="77"/>
      <c r="B28" s="74" t="s">
        <v>32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33</v>
      </c>
      <c r="H28" s="46" t="s">
        <v>20</v>
      </c>
      <c r="I28" s="46" t="s">
        <v>16</v>
      </c>
      <c r="J28" s="46" t="s">
        <v>24</v>
      </c>
      <c r="K28" s="64">
        <v>380</v>
      </c>
      <c r="L28" s="210">
        <v>95</v>
      </c>
      <c r="M28" s="394">
        <v>31</v>
      </c>
      <c r="N28" s="394">
        <v>32</v>
      </c>
      <c r="O28" s="394">
        <v>32</v>
      </c>
      <c r="P28" s="395">
        <f t="shared" si="1"/>
        <v>95</v>
      </c>
      <c r="Q28" s="394">
        <v>95</v>
      </c>
      <c r="R28" s="394">
        <v>31</v>
      </c>
      <c r="S28" s="394">
        <v>32</v>
      </c>
      <c r="T28" s="394">
        <v>32</v>
      </c>
      <c r="U28" s="395">
        <f t="shared" si="2"/>
        <v>95</v>
      </c>
    </row>
    <row r="29" spans="1:21" ht="0.75" customHeight="1">
      <c r="A29" s="77"/>
      <c r="B29" s="74" t="s">
        <v>34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35</v>
      </c>
      <c r="H29" s="46" t="s">
        <v>20</v>
      </c>
      <c r="I29" s="46" t="s">
        <v>16</v>
      </c>
      <c r="J29" s="46" t="s">
        <v>24</v>
      </c>
      <c r="K29" s="64"/>
      <c r="P29" s="395">
        <f t="shared" si="1"/>
        <v>0</v>
      </c>
      <c r="U29" s="395">
        <f t="shared" si="2"/>
        <v>0</v>
      </c>
    </row>
    <row r="30" spans="1:21" ht="12.75">
      <c r="A30" s="320" t="s">
        <v>36</v>
      </c>
      <c r="B30" s="368" t="s">
        <v>37</v>
      </c>
      <c r="C30" s="44" t="s">
        <v>14</v>
      </c>
      <c r="D30" s="44" t="s">
        <v>19</v>
      </c>
      <c r="E30" s="44" t="s">
        <v>38</v>
      </c>
      <c r="F30" s="44" t="s">
        <v>15</v>
      </c>
      <c r="G30" s="44" t="s">
        <v>14</v>
      </c>
      <c r="H30" s="44" t="s">
        <v>15</v>
      </c>
      <c r="I30" s="44" t="s">
        <v>16</v>
      </c>
      <c r="J30" s="44" t="s">
        <v>14</v>
      </c>
      <c r="K30" s="249">
        <f>K31+K32</f>
        <v>8420</v>
      </c>
      <c r="L30" s="400">
        <f>L31+L32</f>
        <v>1780</v>
      </c>
      <c r="M30" s="249">
        <f>M31+M32</f>
        <v>1780</v>
      </c>
      <c r="N30" s="249">
        <f>N31+N32</f>
        <v>0</v>
      </c>
      <c r="O30" s="249">
        <f>O31+O32</f>
        <v>0</v>
      </c>
      <c r="P30" s="395">
        <f t="shared" si="1"/>
        <v>1780</v>
      </c>
      <c r="Q30" s="249">
        <f>Q31+Q32</f>
        <v>2219</v>
      </c>
      <c r="R30" s="249">
        <f>R31+R32</f>
        <v>2219</v>
      </c>
      <c r="S30" s="249">
        <f>S31+S32</f>
        <v>0</v>
      </c>
      <c r="T30" s="249">
        <f>T31+T32</f>
        <v>0</v>
      </c>
      <c r="U30" s="395">
        <f t="shared" si="2"/>
        <v>2219</v>
      </c>
    </row>
    <row r="31" spans="1:21" ht="12.75">
      <c r="A31" s="321" t="s">
        <v>39</v>
      </c>
      <c r="B31" s="93" t="s">
        <v>40</v>
      </c>
      <c r="C31" s="46" t="s">
        <v>26</v>
      </c>
      <c r="D31" s="46" t="s">
        <v>19</v>
      </c>
      <c r="E31" s="46" t="s">
        <v>38</v>
      </c>
      <c r="F31" s="46" t="s">
        <v>23</v>
      </c>
      <c r="G31" s="46" t="s">
        <v>14</v>
      </c>
      <c r="H31" s="46" t="s">
        <v>23</v>
      </c>
      <c r="I31" s="46" t="s">
        <v>16</v>
      </c>
      <c r="J31" s="46" t="s">
        <v>24</v>
      </c>
      <c r="K31" s="64">
        <v>8387</v>
      </c>
      <c r="L31" s="210">
        <v>1780</v>
      </c>
      <c r="M31" s="394">
        <v>1780</v>
      </c>
      <c r="N31" s="394">
        <v>0</v>
      </c>
      <c r="O31" s="394">
        <v>0</v>
      </c>
      <c r="P31" s="395">
        <f t="shared" si="1"/>
        <v>1780</v>
      </c>
      <c r="Q31" s="394">
        <v>2202</v>
      </c>
      <c r="R31" s="394">
        <v>2202</v>
      </c>
      <c r="S31" s="394"/>
      <c r="T31" s="394"/>
      <c r="U31" s="395">
        <f t="shared" si="2"/>
        <v>2202</v>
      </c>
    </row>
    <row r="32" spans="1:21" ht="12.75">
      <c r="A32" s="321" t="s">
        <v>41</v>
      </c>
      <c r="B32" s="93" t="s">
        <v>256</v>
      </c>
      <c r="C32" s="46" t="s">
        <v>26</v>
      </c>
      <c r="D32" s="46" t="s">
        <v>19</v>
      </c>
      <c r="E32" s="46" t="s">
        <v>38</v>
      </c>
      <c r="F32" s="46" t="s">
        <v>42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33</v>
      </c>
      <c r="L32" s="210">
        <v>0</v>
      </c>
      <c r="M32" s="396">
        <v>0</v>
      </c>
      <c r="N32" s="396">
        <v>0</v>
      </c>
      <c r="O32" s="396">
        <v>0</v>
      </c>
      <c r="P32" s="395">
        <f t="shared" si="1"/>
        <v>0</v>
      </c>
      <c r="Q32">
        <v>17</v>
      </c>
      <c r="R32" s="396">
        <v>17</v>
      </c>
      <c r="S32" s="396">
        <v>0</v>
      </c>
      <c r="T32" s="396">
        <v>0</v>
      </c>
      <c r="U32" s="395">
        <f t="shared" si="2"/>
        <v>17</v>
      </c>
    </row>
    <row r="33" spans="1:21" ht="0.75" customHeight="1">
      <c r="A33" s="322" t="s">
        <v>44</v>
      </c>
      <c r="B33" s="368" t="s">
        <v>45</v>
      </c>
      <c r="C33" s="44" t="s">
        <v>14</v>
      </c>
      <c r="D33" s="44" t="s">
        <v>19</v>
      </c>
      <c r="E33" s="44" t="s">
        <v>46</v>
      </c>
      <c r="F33" s="44" t="s">
        <v>15</v>
      </c>
      <c r="G33" s="44" t="s">
        <v>14</v>
      </c>
      <c r="H33" s="44" t="s">
        <v>15</v>
      </c>
      <c r="I33" s="44" t="s">
        <v>16</v>
      </c>
      <c r="J33" s="44" t="s">
        <v>14</v>
      </c>
      <c r="K33" s="249">
        <f>K34+K35+K36</f>
        <v>0</v>
      </c>
      <c r="P33" s="395">
        <f t="shared" si="1"/>
        <v>0</v>
      </c>
      <c r="U33" s="395">
        <f t="shared" si="2"/>
        <v>0</v>
      </c>
    </row>
    <row r="34" spans="1:21" ht="12" customHeight="1" hidden="1">
      <c r="A34" s="322"/>
      <c r="B34" s="93" t="s">
        <v>47</v>
      </c>
      <c r="C34" s="46" t="s">
        <v>26</v>
      </c>
      <c r="D34" s="46" t="s">
        <v>19</v>
      </c>
      <c r="E34" s="46" t="s">
        <v>46</v>
      </c>
      <c r="F34" s="46" t="s">
        <v>20</v>
      </c>
      <c r="G34" s="46" t="s">
        <v>85</v>
      </c>
      <c r="H34" s="46" t="s">
        <v>38</v>
      </c>
      <c r="I34" s="46" t="s">
        <v>16</v>
      </c>
      <c r="J34" s="46" t="s">
        <v>24</v>
      </c>
      <c r="K34" s="64">
        <v>0</v>
      </c>
      <c r="P34" s="395">
        <f t="shared" si="1"/>
        <v>0</v>
      </c>
      <c r="U34" s="395">
        <f t="shared" si="2"/>
        <v>0</v>
      </c>
    </row>
    <row r="35" spans="1:21" ht="12.75" hidden="1">
      <c r="A35" s="322"/>
      <c r="B35" s="93" t="s">
        <v>170</v>
      </c>
      <c r="C35" s="46" t="s">
        <v>26</v>
      </c>
      <c r="D35" s="46" t="s">
        <v>19</v>
      </c>
      <c r="E35" s="46" t="s">
        <v>46</v>
      </c>
      <c r="F35" s="46" t="s">
        <v>23</v>
      </c>
      <c r="G35" s="46" t="s">
        <v>14</v>
      </c>
      <c r="H35" s="46" t="s">
        <v>23</v>
      </c>
      <c r="I35" s="46" t="s">
        <v>16</v>
      </c>
      <c r="J35" s="46" t="s">
        <v>24</v>
      </c>
      <c r="K35" s="64">
        <v>0</v>
      </c>
      <c r="P35" s="395">
        <f t="shared" si="1"/>
        <v>0</v>
      </c>
      <c r="U35" s="395">
        <f t="shared" si="2"/>
        <v>0</v>
      </c>
    </row>
    <row r="36" spans="1:21" ht="12" customHeight="1" hidden="1">
      <c r="A36" s="322"/>
      <c r="B36" s="93" t="s">
        <v>49</v>
      </c>
      <c r="C36" s="46" t="s">
        <v>26</v>
      </c>
      <c r="D36" s="46" t="s">
        <v>19</v>
      </c>
      <c r="E36" s="46" t="s">
        <v>46</v>
      </c>
      <c r="F36" s="46" t="s">
        <v>46</v>
      </c>
      <c r="G36" s="46" t="s">
        <v>151</v>
      </c>
      <c r="H36" s="46" t="s">
        <v>38</v>
      </c>
      <c r="I36" s="46" t="s">
        <v>16</v>
      </c>
      <c r="J36" s="46" t="s">
        <v>24</v>
      </c>
      <c r="K36" s="64">
        <v>0</v>
      </c>
      <c r="P36" s="395">
        <f t="shared" si="1"/>
        <v>0</v>
      </c>
      <c r="U36" s="395">
        <f t="shared" si="2"/>
        <v>0</v>
      </c>
    </row>
    <row r="37" spans="1:21" ht="15.75" customHeight="1">
      <c r="A37" s="322" t="s">
        <v>44</v>
      </c>
      <c r="B37" s="368" t="s">
        <v>51</v>
      </c>
      <c r="C37" s="44" t="s">
        <v>14</v>
      </c>
      <c r="D37" s="44" t="s">
        <v>19</v>
      </c>
      <c r="E37" s="44" t="s">
        <v>52</v>
      </c>
      <c r="F37" s="44" t="s">
        <v>15</v>
      </c>
      <c r="G37" s="44" t="s">
        <v>14</v>
      </c>
      <c r="H37" s="44" t="s">
        <v>15</v>
      </c>
      <c r="I37" s="44" t="s">
        <v>16</v>
      </c>
      <c r="J37" s="44" t="s">
        <v>14</v>
      </c>
      <c r="K37" s="249">
        <f>K38+K39+K40</f>
        <v>2610</v>
      </c>
      <c r="L37" s="400">
        <f>L38+L39+L40</f>
        <v>652</v>
      </c>
      <c r="M37" s="249">
        <f>M38+M39+M40</f>
        <v>215</v>
      </c>
      <c r="N37" s="249">
        <f>N38+N39+N40</f>
        <v>217</v>
      </c>
      <c r="O37" s="249">
        <f>O38+O39+O40</f>
        <v>220</v>
      </c>
      <c r="P37" s="395">
        <f t="shared" si="1"/>
        <v>652</v>
      </c>
      <c r="Q37" s="249">
        <f>Q38+Q39+Q40</f>
        <v>652</v>
      </c>
      <c r="R37" s="249">
        <f>R38+R39+R40</f>
        <v>217</v>
      </c>
      <c r="S37" s="249">
        <f>S38+S39+S40</f>
        <v>216</v>
      </c>
      <c r="T37" s="249">
        <f>T38+T39+T40</f>
        <v>219</v>
      </c>
      <c r="U37" s="395">
        <f t="shared" si="2"/>
        <v>652</v>
      </c>
    </row>
    <row r="38" spans="1:21" ht="36">
      <c r="A38" s="374" t="s">
        <v>306</v>
      </c>
      <c r="B38" s="93" t="s">
        <v>333</v>
      </c>
      <c r="C38" s="46" t="s">
        <v>26</v>
      </c>
      <c r="D38" s="46" t="s">
        <v>19</v>
      </c>
      <c r="E38" s="46" t="s">
        <v>52</v>
      </c>
      <c r="F38" s="46" t="s">
        <v>42</v>
      </c>
      <c r="G38" s="46" t="s">
        <v>27</v>
      </c>
      <c r="H38" s="46" t="s">
        <v>20</v>
      </c>
      <c r="I38" s="46" t="s">
        <v>16</v>
      </c>
      <c r="J38" s="46" t="s">
        <v>24</v>
      </c>
      <c r="K38" s="64">
        <f>880+30</f>
        <v>910</v>
      </c>
      <c r="L38" s="210">
        <v>227</v>
      </c>
      <c r="M38" s="394">
        <v>75</v>
      </c>
      <c r="N38" s="394">
        <v>75</v>
      </c>
      <c r="O38" s="394">
        <v>77</v>
      </c>
      <c r="P38" s="395">
        <f t="shared" si="1"/>
        <v>227</v>
      </c>
      <c r="Q38" s="394">
        <v>227</v>
      </c>
      <c r="R38" s="394">
        <v>75</v>
      </c>
      <c r="S38" s="394">
        <v>75</v>
      </c>
      <c r="T38" s="394">
        <v>77</v>
      </c>
      <c r="U38" s="395">
        <f t="shared" si="2"/>
        <v>227</v>
      </c>
    </row>
    <row r="39" spans="1:21" ht="63" customHeight="1">
      <c r="A39" s="374" t="s">
        <v>314</v>
      </c>
      <c r="B39" s="93" t="s">
        <v>334</v>
      </c>
      <c r="C39" s="46" t="s">
        <v>14</v>
      </c>
      <c r="D39" s="46" t="s">
        <v>19</v>
      </c>
      <c r="E39" s="46" t="s">
        <v>52</v>
      </c>
      <c r="F39" s="46" t="s">
        <v>55</v>
      </c>
      <c r="G39" s="46" t="s">
        <v>272</v>
      </c>
      <c r="H39" s="46" t="s">
        <v>20</v>
      </c>
      <c r="I39" s="46" t="s">
        <v>16</v>
      </c>
      <c r="J39" s="46" t="s">
        <v>24</v>
      </c>
      <c r="K39" s="64">
        <f>1630+70</f>
        <v>1700</v>
      </c>
      <c r="L39" s="210">
        <v>425</v>
      </c>
      <c r="M39" s="394">
        <v>140</v>
      </c>
      <c r="N39" s="394">
        <v>142</v>
      </c>
      <c r="O39" s="394">
        <v>143</v>
      </c>
      <c r="P39" s="395">
        <f t="shared" si="1"/>
        <v>425</v>
      </c>
      <c r="Q39" s="394">
        <v>425</v>
      </c>
      <c r="R39" s="394">
        <v>142</v>
      </c>
      <c r="S39" s="394">
        <v>141</v>
      </c>
      <c r="T39" s="394">
        <v>142</v>
      </c>
      <c r="U39" s="395">
        <f t="shared" si="2"/>
        <v>425</v>
      </c>
    </row>
    <row r="40" spans="1:21" ht="24" hidden="1">
      <c r="A40" s="374"/>
      <c r="B40" s="93" t="s">
        <v>316</v>
      </c>
      <c r="C40" s="46" t="s">
        <v>270</v>
      </c>
      <c r="D40" s="46" t="s">
        <v>19</v>
      </c>
      <c r="E40" s="46" t="s">
        <v>52</v>
      </c>
      <c r="F40" s="46" t="s">
        <v>55</v>
      </c>
      <c r="G40" s="46" t="s">
        <v>317</v>
      </c>
      <c r="H40" s="46" t="s">
        <v>20</v>
      </c>
      <c r="I40" s="46" t="s">
        <v>16</v>
      </c>
      <c r="J40" s="46" t="s">
        <v>24</v>
      </c>
      <c r="K40" s="64">
        <v>0</v>
      </c>
      <c r="P40" s="395">
        <f t="shared" si="1"/>
        <v>0</v>
      </c>
      <c r="U40" s="395">
        <f t="shared" si="2"/>
        <v>0</v>
      </c>
    </row>
    <row r="41" spans="1:21" ht="24.75" customHeight="1">
      <c r="A41" s="320" t="s">
        <v>50</v>
      </c>
      <c r="B41" s="323" t="s">
        <v>148</v>
      </c>
      <c r="C41" s="44" t="s">
        <v>14</v>
      </c>
      <c r="D41" s="44" t="s">
        <v>19</v>
      </c>
      <c r="E41" s="44" t="s">
        <v>63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249">
        <f>K43+K47</f>
        <v>6884</v>
      </c>
      <c r="L41" s="400">
        <f>L43+L47</f>
        <v>1075</v>
      </c>
      <c r="M41" s="249">
        <f>M43+M47</f>
        <v>358</v>
      </c>
      <c r="N41" s="249">
        <f>N43+N47</f>
        <v>358</v>
      </c>
      <c r="O41" s="249">
        <f>O43+O47</f>
        <v>359</v>
      </c>
      <c r="P41" s="395">
        <f t="shared" si="1"/>
        <v>1075</v>
      </c>
      <c r="Q41" s="249">
        <f>Q43+Q47</f>
        <v>1075</v>
      </c>
      <c r="R41" s="249">
        <f>R43+R47</f>
        <v>358</v>
      </c>
      <c r="S41" s="249">
        <f>S43+S47</f>
        <v>358</v>
      </c>
      <c r="T41" s="249">
        <f>T43+T47</f>
        <v>359</v>
      </c>
      <c r="U41" s="395">
        <f t="shared" si="2"/>
        <v>1075</v>
      </c>
    </row>
    <row r="42" spans="1:21" ht="0.75" customHeight="1">
      <c r="A42" s="321"/>
      <c r="B42" s="323"/>
      <c r="C42" s="44"/>
      <c r="D42" s="44"/>
      <c r="E42" s="44"/>
      <c r="F42" s="44"/>
      <c r="G42" s="44"/>
      <c r="H42" s="44"/>
      <c r="I42" s="44"/>
      <c r="J42" s="44"/>
      <c r="K42" s="249"/>
      <c r="P42" s="395">
        <f t="shared" si="1"/>
        <v>0</v>
      </c>
      <c r="U42" s="395">
        <f t="shared" si="2"/>
        <v>0</v>
      </c>
    </row>
    <row r="43" spans="1:21" ht="40.5" customHeight="1" hidden="1">
      <c r="A43" s="324" t="s">
        <v>285</v>
      </c>
      <c r="B43" s="122" t="s">
        <v>326</v>
      </c>
      <c r="C43" s="115" t="s">
        <v>14</v>
      </c>
      <c r="D43" s="115">
        <v>1</v>
      </c>
      <c r="E43" s="115">
        <v>11</v>
      </c>
      <c r="F43" s="115" t="s">
        <v>38</v>
      </c>
      <c r="G43" s="115" t="s">
        <v>14</v>
      </c>
      <c r="H43" s="115" t="s">
        <v>15</v>
      </c>
      <c r="I43" s="115" t="s">
        <v>16</v>
      </c>
      <c r="J43" s="115" t="s">
        <v>65</v>
      </c>
      <c r="K43" s="250">
        <f>K44+K45</f>
        <v>2584</v>
      </c>
      <c r="P43" s="395">
        <f t="shared" si="1"/>
        <v>0</v>
      </c>
      <c r="U43" s="395">
        <f t="shared" si="2"/>
        <v>0</v>
      </c>
    </row>
    <row r="44" spans="1:21" ht="37.5" customHeight="1">
      <c r="A44" s="325"/>
      <c r="B44" s="370" t="s">
        <v>318</v>
      </c>
      <c r="C44" s="371" t="s">
        <v>270</v>
      </c>
      <c r="D44" s="371" t="s">
        <v>19</v>
      </c>
      <c r="E44" s="371" t="s">
        <v>63</v>
      </c>
      <c r="F44" s="371" t="s">
        <v>20</v>
      </c>
      <c r="G44" s="371" t="s">
        <v>159</v>
      </c>
      <c r="H44" s="371" t="s">
        <v>38</v>
      </c>
      <c r="I44" s="371" t="s">
        <v>16</v>
      </c>
      <c r="J44" s="371" t="s">
        <v>65</v>
      </c>
      <c r="K44" s="251">
        <v>30</v>
      </c>
      <c r="L44" s="210">
        <v>7</v>
      </c>
      <c r="M44" s="394">
        <v>0</v>
      </c>
      <c r="N44" s="394">
        <v>0</v>
      </c>
      <c r="O44" s="394">
        <v>7</v>
      </c>
      <c r="P44" s="395">
        <f t="shared" si="1"/>
        <v>7</v>
      </c>
      <c r="Q44" s="394">
        <v>8</v>
      </c>
      <c r="R44" s="394">
        <v>2</v>
      </c>
      <c r="S44" s="394">
        <v>3</v>
      </c>
      <c r="T44" s="394">
        <v>3</v>
      </c>
      <c r="U44" s="395">
        <f t="shared" si="2"/>
        <v>8</v>
      </c>
    </row>
    <row r="45" spans="1:21" ht="52.5" customHeight="1">
      <c r="A45" s="320"/>
      <c r="B45" s="375" t="s">
        <v>319</v>
      </c>
      <c r="C45" s="46" t="s">
        <v>270</v>
      </c>
      <c r="D45" s="46" t="s">
        <v>19</v>
      </c>
      <c r="E45" s="46" t="s">
        <v>63</v>
      </c>
      <c r="F45" s="46" t="s">
        <v>38</v>
      </c>
      <c r="G45" s="46" t="s">
        <v>27</v>
      </c>
      <c r="H45" s="46" t="s">
        <v>112</v>
      </c>
      <c r="I45" s="46" t="s">
        <v>16</v>
      </c>
      <c r="J45" s="46" t="s">
        <v>65</v>
      </c>
      <c r="K45" s="64">
        <v>2554</v>
      </c>
      <c r="L45" s="210">
        <v>630</v>
      </c>
      <c r="M45" s="394">
        <v>210</v>
      </c>
      <c r="N45" s="394">
        <v>210</v>
      </c>
      <c r="O45" s="394">
        <v>210</v>
      </c>
      <c r="P45" s="395">
        <f t="shared" si="1"/>
        <v>630</v>
      </c>
      <c r="Q45" s="394">
        <v>630</v>
      </c>
      <c r="R45" s="394">
        <v>210</v>
      </c>
      <c r="S45" s="394">
        <v>210</v>
      </c>
      <c r="T45" s="394">
        <v>210</v>
      </c>
      <c r="U45" s="395">
        <f t="shared" si="2"/>
        <v>630</v>
      </c>
    </row>
    <row r="46" spans="1:21" ht="24" hidden="1">
      <c r="A46" s="324" t="s">
        <v>286</v>
      </c>
      <c r="B46" s="122" t="s">
        <v>154</v>
      </c>
      <c r="C46" s="115" t="s">
        <v>270</v>
      </c>
      <c r="D46" s="115" t="s">
        <v>19</v>
      </c>
      <c r="E46" s="115" t="s">
        <v>63</v>
      </c>
      <c r="F46" s="115" t="s">
        <v>58</v>
      </c>
      <c r="G46" s="115" t="s">
        <v>14</v>
      </c>
      <c r="H46" s="115" t="s">
        <v>15</v>
      </c>
      <c r="I46" s="115" t="s">
        <v>16</v>
      </c>
      <c r="J46" s="115" t="s">
        <v>65</v>
      </c>
      <c r="K46" s="64">
        <f>K47</f>
        <v>4300</v>
      </c>
      <c r="P46" s="395">
        <f t="shared" si="1"/>
        <v>0</v>
      </c>
      <c r="U46" s="395">
        <f t="shared" si="2"/>
        <v>0</v>
      </c>
    </row>
    <row r="47" spans="1:21" ht="24">
      <c r="A47" s="77"/>
      <c r="B47" s="112" t="s">
        <v>330</v>
      </c>
      <c r="C47" s="46" t="s">
        <v>270</v>
      </c>
      <c r="D47" s="46" t="s">
        <v>19</v>
      </c>
      <c r="E47" s="46" t="s">
        <v>63</v>
      </c>
      <c r="F47" s="46" t="s">
        <v>58</v>
      </c>
      <c r="G47" s="46" t="s">
        <v>153</v>
      </c>
      <c r="H47" s="46" t="s">
        <v>38</v>
      </c>
      <c r="I47" s="46" t="s">
        <v>16</v>
      </c>
      <c r="J47" s="46" t="s">
        <v>65</v>
      </c>
      <c r="K47" s="251">
        <v>4300</v>
      </c>
      <c r="L47" s="210">
        <v>1075</v>
      </c>
      <c r="M47" s="394">
        <v>358</v>
      </c>
      <c r="N47" s="394">
        <v>358</v>
      </c>
      <c r="O47" s="394">
        <v>359</v>
      </c>
      <c r="P47" s="395">
        <f t="shared" si="1"/>
        <v>1075</v>
      </c>
      <c r="Q47" s="394">
        <v>1075</v>
      </c>
      <c r="R47" s="394">
        <v>358</v>
      </c>
      <c r="S47" s="394">
        <v>358</v>
      </c>
      <c r="T47" s="394">
        <v>359</v>
      </c>
      <c r="U47" s="395">
        <f t="shared" si="2"/>
        <v>1075</v>
      </c>
    </row>
    <row r="48" spans="1:21" ht="12.75">
      <c r="A48" s="320">
        <v>5</v>
      </c>
      <c r="B48" s="328" t="s">
        <v>69</v>
      </c>
      <c r="C48" s="44" t="s">
        <v>14</v>
      </c>
      <c r="D48" s="44" t="s">
        <v>19</v>
      </c>
      <c r="E48" s="44" t="s">
        <v>70</v>
      </c>
      <c r="F48" s="44" t="s">
        <v>15</v>
      </c>
      <c r="G48" s="44" t="s">
        <v>14</v>
      </c>
      <c r="H48" s="44" t="s">
        <v>15</v>
      </c>
      <c r="I48" s="44" t="s">
        <v>16</v>
      </c>
      <c r="J48" s="44" t="s">
        <v>14</v>
      </c>
      <c r="K48" s="249">
        <f>K49</f>
        <v>700</v>
      </c>
      <c r="L48" s="400">
        <f>L49</f>
        <v>175</v>
      </c>
      <c r="M48" s="249">
        <f>M49</f>
        <v>50</v>
      </c>
      <c r="N48" s="249">
        <f>N49</f>
        <v>50</v>
      </c>
      <c r="O48" s="249">
        <f>O49</f>
        <v>75</v>
      </c>
      <c r="P48" s="395">
        <f t="shared" si="1"/>
        <v>175</v>
      </c>
      <c r="Q48" s="249">
        <f>Q49</f>
        <v>175</v>
      </c>
      <c r="R48" s="249">
        <f>R49</f>
        <v>50</v>
      </c>
      <c r="S48" s="249">
        <f>S49</f>
        <v>50</v>
      </c>
      <c r="T48" s="249">
        <f>T49</f>
        <v>75</v>
      </c>
      <c r="U48" s="395">
        <f t="shared" si="2"/>
        <v>175</v>
      </c>
    </row>
    <row r="49" spans="1:21" ht="12.75">
      <c r="A49" s="324" t="s">
        <v>287</v>
      </c>
      <c r="B49" s="122" t="s">
        <v>72</v>
      </c>
      <c r="C49" s="115" t="s">
        <v>156</v>
      </c>
      <c r="D49" s="115" t="s">
        <v>19</v>
      </c>
      <c r="E49" s="115" t="s">
        <v>70</v>
      </c>
      <c r="F49" s="115" t="s">
        <v>20</v>
      </c>
      <c r="G49" s="115" t="s">
        <v>14</v>
      </c>
      <c r="H49" s="115" t="s">
        <v>20</v>
      </c>
      <c r="I49" s="115" t="s">
        <v>16</v>
      </c>
      <c r="J49" s="115" t="s">
        <v>65</v>
      </c>
      <c r="K49" s="64">
        <v>700</v>
      </c>
      <c r="L49" s="210">
        <v>175</v>
      </c>
      <c r="M49" s="396">
        <v>50</v>
      </c>
      <c r="N49" s="396">
        <v>50</v>
      </c>
      <c r="O49" s="396">
        <v>75</v>
      </c>
      <c r="P49" s="395">
        <f t="shared" si="1"/>
        <v>175</v>
      </c>
      <c r="Q49">
        <v>175</v>
      </c>
      <c r="R49" s="396">
        <v>50</v>
      </c>
      <c r="S49" s="396">
        <v>50</v>
      </c>
      <c r="T49" s="396">
        <v>75</v>
      </c>
      <c r="U49" s="395">
        <f t="shared" si="2"/>
        <v>175</v>
      </c>
    </row>
    <row r="50" spans="1:21" ht="39.75" customHeight="1">
      <c r="A50" s="236" t="s">
        <v>62</v>
      </c>
      <c r="B50" s="112" t="s">
        <v>217</v>
      </c>
      <c r="C50" s="46" t="s">
        <v>270</v>
      </c>
      <c r="D50" s="46" t="s">
        <v>19</v>
      </c>
      <c r="E50" s="46" t="s">
        <v>218</v>
      </c>
      <c r="F50" s="46" t="s">
        <v>23</v>
      </c>
      <c r="G50" s="46" t="s">
        <v>195</v>
      </c>
      <c r="H50" s="46" t="s">
        <v>38</v>
      </c>
      <c r="I50" s="46" t="s">
        <v>16</v>
      </c>
      <c r="J50" s="46" t="s">
        <v>101</v>
      </c>
      <c r="K50" s="64">
        <v>50</v>
      </c>
      <c r="L50" s="218">
        <v>0</v>
      </c>
      <c r="M50" s="64">
        <v>0</v>
      </c>
      <c r="N50" s="64">
        <v>0</v>
      </c>
      <c r="O50" s="64">
        <v>0</v>
      </c>
      <c r="P50" s="395">
        <f t="shared" si="1"/>
        <v>0</v>
      </c>
      <c r="Q50" s="64">
        <v>0</v>
      </c>
      <c r="R50" s="64">
        <v>0</v>
      </c>
      <c r="S50" s="64">
        <v>0</v>
      </c>
      <c r="T50" s="64">
        <v>0</v>
      </c>
      <c r="U50" s="395">
        <f t="shared" si="2"/>
        <v>0</v>
      </c>
    </row>
    <row r="51" spans="1:21" ht="39.75" customHeight="1">
      <c r="A51" s="236"/>
      <c r="B51" s="112" t="s">
        <v>352</v>
      </c>
      <c r="C51" s="46" t="s">
        <v>270</v>
      </c>
      <c r="D51" s="46" t="s">
        <v>19</v>
      </c>
      <c r="E51" s="46" t="s">
        <v>218</v>
      </c>
      <c r="F51" s="46" t="s">
        <v>42</v>
      </c>
      <c r="G51" s="46" t="s">
        <v>159</v>
      </c>
      <c r="H51" s="46" t="s">
        <v>38</v>
      </c>
      <c r="I51" s="46" t="s">
        <v>16</v>
      </c>
      <c r="J51" s="46" t="s">
        <v>101</v>
      </c>
      <c r="K51" s="64">
        <v>20352</v>
      </c>
      <c r="L51" s="210">
        <v>5088</v>
      </c>
      <c r="M51" s="397">
        <v>1696</v>
      </c>
      <c r="N51" s="397">
        <v>1696</v>
      </c>
      <c r="O51" s="398">
        <v>1696</v>
      </c>
      <c r="P51" s="395">
        <f t="shared" si="1"/>
        <v>5088</v>
      </c>
      <c r="Q51" s="397">
        <v>5088</v>
      </c>
      <c r="R51" s="397">
        <v>1696</v>
      </c>
      <c r="S51" s="397">
        <v>1696</v>
      </c>
      <c r="T51" s="398">
        <v>1696</v>
      </c>
      <c r="U51" s="395">
        <f t="shared" si="2"/>
        <v>5088</v>
      </c>
    </row>
    <row r="52" spans="1:21" ht="12.75">
      <c r="A52" s="236" t="s">
        <v>68</v>
      </c>
      <c r="B52" s="327" t="s">
        <v>113</v>
      </c>
      <c r="C52" s="44" t="s">
        <v>14</v>
      </c>
      <c r="D52" s="44" t="s">
        <v>19</v>
      </c>
      <c r="E52" s="44" t="s">
        <v>114</v>
      </c>
      <c r="F52" s="44" t="s">
        <v>15</v>
      </c>
      <c r="G52" s="44" t="s">
        <v>14</v>
      </c>
      <c r="H52" s="44" t="s">
        <v>15</v>
      </c>
      <c r="I52" s="44" t="s">
        <v>16</v>
      </c>
      <c r="J52" s="44" t="s">
        <v>14</v>
      </c>
      <c r="K52" s="249">
        <f>K53+K54</f>
        <v>4300</v>
      </c>
      <c r="L52" s="400">
        <f>L53+L54</f>
        <v>1075</v>
      </c>
      <c r="M52" s="249">
        <f>M53+M54</f>
        <v>350</v>
      </c>
      <c r="N52" s="249">
        <f>N53+N54</f>
        <v>350</v>
      </c>
      <c r="O52" s="249">
        <f>O53+O54</f>
        <v>375</v>
      </c>
      <c r="P52" s="395">
        <f t="shared" si="1"/>
        <v>1075</v>
      </c>
      <c r="Q52" s="249">
        <f>Q53+Q54</f>
        <v>1075</v>
      </c>
      <c r="R52" s="249">
        <f>R53+R54</f>
        <v>358</v>
      </c>
      <c r="S52" s="249">
        <f>S53+S54</f>
        <v>358</v>
      </c>
      <c r="T52" s="249">
        <f>T53+T54</f>
        <v>359</v>
      </c>
      <c r="U52" s="395">
        <f t="shared" si="2"/>
        <v>1075</v>
      </c>
    </row>
    <row r="53" spans="1:21" ht="36">
      <c r="A53" s="236"/>
      <c r="B53" s="87" t="s">
        <v>327</v>
      </c>
      <c r="C53" s="46" t="s">
        <v>14</v>
      </c>
      <c r="D53" s="46" t="s">
        <v>19</v>
      </c>
      <c r="E53" s="46" t="s">
        <v>114</v>
      </c>
      <c r="F53" s="46" t="s">
        <v>23</v>
      </c>
      <c r="G53" s="46" t="s">
        <v>273</v>
      </c>
      <c r="H53" s="46" t="s">
        <v>38</v>
      </c>
      <c r="I53" s="46" t="s">
        <v>16</v>
      </c>
      <c r="J53" s="46" t="s">
        <v>118</v>
      </c>
      <c r="K53" s="64">
        <v>1900</v>
      </c>
      <c r="L53" s="210">
        <v>475</v>
      </c>
      <c r="M53" s="397">
        <v>150</v>
      </c>
      <c r="N53" s="397">
        <v>150</v>
      </c>
      <c r="O53" s="398">
        <v>175</v>
      </c>
      <c r="P53" s="395">
        <f t="shared" si="1"/>
        <v>475</v>
      </c>
      <c r="Q53" s="397">
        <v>475</v>
      </c>
      <c r="R53" s="397">
        <v>158</v>
      </c>
      <c r="S53" s="397">
        <v>158</v>
      </c>
      <c r="T53" s="398">
        <v>159</v>
      </c>
      <c r="U53" s="395">
        <f t="shared" si="2"/>
        <v>475</v>
      </c>
    </row>
    <row r="54" spans="1:21" ht="36">
      <c r="A54" s="236"/>
      <c r="B54" s="87" t="s">
        <v>320</v>
      </c>
      <c r="C54" s="46" t="s">
        <v>14</v>
      </c>
      <c r="D54" s="46" t="s">
        <v>19</v>
      </c>
      <c r="E54" s="46" t="s">
        <v>114</v>
      </c>
      <c r="F54" s="46" t="s">
        <v>46</v>
      </c>
      <c r="G54" s="46" t="s">
        <v>66</v>
      </c>
      <c r="H54" s="46" t="s">
        <v>112</v>
      </c>
      <c r="I54" s="46" t="s">
        <v>16</v>
      </c>
      <c r="J54" s="46" t="s">
        <v>347</v>
      </c>
      <c r="K54" s="64">
        <f>400+1000+1000</f>
        <v>2400</v>
      </c>
      <c r="L54" s="210">
        <v>600</v>
      </c>
      <c r="M54" s="397">
        <v>200</v>
      </c>
      <c r="N54" s="397">
        <v>200</v>
      </c>
      <c r="O54" s="398">
        <v>200</v>
      </c>
      <c r="P54" s="395">
        <f t="shared" si="1"/>
        <v>600</v>
      </c>
      <c r="Q54" s="397">
        <v>600</v>
      </c>
      <c r="R54" s="397">
        <v>200</v>
      </c>
      <c r="S54" s="397">
        <v>200</v>
      </c>
      <c r="T54" s="398">
        <v>200</v>
      </c>
      <c r="U54" s="395">
        <f t="shared" si="2"/>
        <v>600</v>
      </c>
    </row>
    <row r="55" spans="1:21" ht="12.75">
      <c r="A55" s="236" t="s">
        <v>80</v>
      </c>
      <c r="B55" s="328" t="s">
        <v>81</v>
      </c>
      <c r="C55" s="44" t="s">
        <v>14</v>
      </c>
      <c r="D55" s="44" t="s">
        <v>19</v>
      </c>
      <c r="E55" s="44" t="s">
        <v>82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49">
        <f>K56+K57+K58+K59+K60+K61+K62</f>
        <v>3140</v>
      </c>
      <c r="L55" s="249">
        <f>L56+L57+L58+L59+L60+L61+L62</f>
        <v>753</v>
      </c>
      <c r="M55" s="249">
        <f>M56+M57+M58+M59+M60+M61+M62</f>
        <v>197</v>
      </c>
      <c r="N55" s="249">
        <f>N56+N57+N58+N59+N60+N61+N62</f>
        <v>247</v>
      </c>
      <c r="O55" s="249">
        <f>O56+O57+O58+O59+O60+O61+O62</f>
        <v>309</v>
      </c>
      <c r="P55" s="395">
        <f t="shared" si="1"/>
        <v>753</v>
      </c>
      <c r="Q55" s="249">
        <v>3140</v>
      </c>
      <c r="R55" s="249">
        <v>3140</v>
      </c>
      <c r="S55" s="249">
        <v>3140</v>
      </c>
      <c r="T55" s="249">
        <v>3140</v>
      </c>
      <c r="U55" s="395">
        <f t="shared" si="2"/>
        <v>9420</v>
      </c>
    </row>
    <row r="56" spans="1:21" ht="25.5">
      <c r="A56" s="325" t="s">
        <v>288</v>
      </c>
      <c r="B56" s="372" t="s">
        <v>274</v>
      </c>
      <c r="C56" s="371" t="s">
        <v>26</v>
      </c>
      <c r="D56" s="371" t="s">
        <v>19</v>
      </c>
      <c r="E56" s="371" t="s">
        <v>82</v>
      </c>
      <c r="F56" s="371" t="s">
        <v>42</v>
      </c>
      <c r="G56" s="371" t="s">
        <v>14</v>
      </c>
      <c r="H56" s="371" t="s">
        <v>20</v>
      </c>
      <c r="I56" s="371" t="s">
        <v>16</v>
      </c>
      <c r="J56" s="371" t="s">
        <v>272</v>
      </c>
      <c r="K56" s="249">
        <v>20</v>
      </c>
      <c r="L56" s="210">
        <v>3</v>
      </c>
      <c r="M56" s="397">
        <v>1</v>
      </c>
      <c r="N56" s="397">
        <v>1</v>
      </c>
      <c r="O56" s="398">
        <v>1</v>
      </c>
      <c r="P56" s="395">
        <f t="shared" si="1"/>
        <v>3</v>
      </c>
      <c r="R56" s="397"/>
      <c r="S56" s="397"/>
      <c r="T56" s="398"/>
      <c r="U56" s="395">
        <f t="shared" si="2"/>
        <v>0</v>
      </c>
    </row>
    <row r="57" spans="1:21" ht="51">
      <c r="A57" s="325" t="s">
        <v>289</v>
      </c>
      <c r="B57" s="372" t="s">
        <v>275</v>
      </c>
      <c r="C57" s="371" t="s">
        <v>26</v>
      </c>
      <c r="D57" s="371" t="s">
        <v>19</v>
      </c>
      <c r="E57" s="371" t="s">
        <v>82</v>
      </c>
      <c r="F57" s="371" t="s">
        <v>46</v>
      </c>
      <c r="G57" s="371" t="s">
        <v>14</v>
      </c>
      <c r="H57" s="371" t="s">
        <v>20</v>
      </c>
      <c r="I57" s="371" t="s">
        <v>16</v>
      </c>
      <c r="J57" s="371" t="s">
        <v>272</v>
      </c>
      <c r="K57" s="249">
        <v>50</v>
      </c>
      <c r="L57" s="210">
        <v>10</v>
      </c>
      <c r="M57" s="397">
        <v>3</v>
      </c>
      <c r="N57" s="397">
        <v>3</v>
      </c>
      <c r="O57" s="398">
        <v>4</v>
      </c>
      <c r="P57" s="395">
        <f t="shared" si="1"/>
        <v>10</v>
      </c>
      <c r="R57" s="397"/>
      <c r="S57" s="397"/>
      <c r="T57" s="398"/>
      <c r="U57" s="395">
        <f t="shared" si="2"/>
        <v>0</v>
      </c>
    </row>
    <row r="58" spans="1:21" ht="38.25">
      <c r="A58" s="325" t="s">
        <v>290</v>
      </c>
      <c r="B58" s="372" t="s">
        <v>336</v>
      </c>
      <c r="C58" s="371" t="s">
        <v>14</v>
      </c>
      <c r="D58" s="371" t="s">
        <v>19</v>
      </c>
      <c r="E58" s="371" t="s">
        <v>82</v>
      </c>
      <c r="F58" s="371" t="s">
        <v>52</v>
      </c>
      <c r="G58" s="371" t="s">
        <v>14</v>
      </c>
      <c r="H58" s="371" t="s">
        <v>20</v>
      </c>
      <c r="I58" s="371" t="s">
        <v>16</v>
      </c>
      <c r="J58" s="371" t="s">
        <v>272</v>
      </c>
      <c r="K58" s="249">
        <v>20</v>
      </c>
      <c r="L58" s="210">
        <v>5</v>
      </c>
      <c r="M58" s="397">
        <v>1</v>
      </c>
      <c r="N58" s="397">
        <v>1</v>
      </c>
      <c r="O58" s="398">
        <v>3</v>
      </c>
      <c r="P58" s="395">
        <f t="shared" si="1"/>
        <v>5</v>
      </c>
      <c r="R58" s="397"/>
      <c r="S58" s="397"/>
      <c r="T58" s="398"/>
      <c r="U58" s="395">
        <f t="shared" si="2"/>
        <v>0</v>
      </c>
    </row>
    <row r="59" spans="1:21" ht="25.5">
      <c r="A59" s="325"/>
      <c r="B59" s="372" t="s">
        <v>337</v>
      </c>
      <c r="C59" s="371" t="s">
        <v>14</v>
      </c>
      <c r="D59" s="371" t="s">
        <v>19</v>
      </c>
      <c r="E59" s="371" t="s">
        <v>82</v>
      </c>
      <c r="F59" s="371" t="s">
        <v>338</v>
      </c>
      <c r="G59" s="371" t="s">
        <v>85</v>
      </c>
      <c r="H59" s="371" t="s">
        <v>20</v>
      </c>
      <c r="I59" s="371" t="s">
        <v>16</v>
      </c>
      <c r="J59" s="371" t="s">
        <v>272</v>
      </c>
      <c r="K59" s="249">
        <v>30</v>
      </c>
      <c r="L59" s="210">
        <v>5</v>
      </c>
      <c r="M59" s="397">
        <v>1</v>
      </c>
      <c r="N59" s="397">
        <v>1</v>
      </c>
      <c r="O59" s="398">
        <v>3</v>
      </c>
      <c r="P59" s="395">
        <f t="shared" si="1"/>
        <v>5</v>
      </c>
      <c r="R59" s="397"/>
      <c r="S59" s="397"/>
      <c r="T59" s="398"/>
      <c r="U59" s="395">
        <f t="shared" si="2"/>
        <v>0</v>
      </c>
    </row>
    <row r="60" spans="1:21" ht="51">
      <c r="A60" s="325" t="s">
        <v>291</v>
      </c>
      <c r="B60" s="372" t="s">
        <v>276</v>
      </c>
      <c r="C60" s="371" t="s">
        <v>14</v>
      </c>
      <c r="D60" s="371" t="s">
        <v>19</v>
      </c>
      <c r="E60" s="371" t="s">
        <v>82</v>
      </c>
      <c r="F60" s="371" t="s">
        <v>277</v>
      </c>
      <c r="G60" s="371" t="s">
        <v>14</v>
      </c>
      <c r="H60" s="371" t="s">
        <v>20</v>
      </c>
      <c r="I60" s="371" t="s">
        <v>16</v>
      </c>
      <c r="J60" s="371" t="s">
        <v>272</v>
      </c>
      <c r="K60" s="249">
        <v>20</v>
      </c>
      <c r="L60" s="210">
        <v>5</v>
      </c>
      <c r="M60" s="397">
        <v>1</v>
      </c>
      <c r="N60" s="397">
        <v>1</v>
      </c>
      <c r="O60" s="398">
        <v>3</v>
      </c>
      <c r="P60" s="395">
        <f t="shared" si="1"/>
        <v>5</v>
      </c>
      <c r="R60" s="397"/>
      <c r="S60" s="397"/>
      <c r="T60" s="398"/>
      <c r="U60" s="395">
        <f t="shared" si="2"/>
        <v>0</v>
      </c>
    </row>
    <row r="61" spans="1:21" ht="25.5">
      <c r="A61" s="325" t="s">
        <v>292</v>
      </c>
      <c r="B61" s="372" t="s">
        <v>278</v>
      </c>
      <c r="C61" s="371" t="s">
        <v>335</v>
      </c>
      <c r="D61" s="371" t="s">
        <v>19</v>
      </c>
      <c r="E61" s="371" t="s">
        <v>82</v>
      </c>
      <c r="F61" s="371" t="s">
        <v>279</v>
      </c>
      <c r="G61" s="371" t="s">
        <v>14</v>
      </c>
      <c r="H61" s="371" t="s">
        <v>20</v>
      </c>
      <c r="I61" s="371" t="s">
        <v>16</v>
      </c>
      <c r="J61" s="371" t="s">
        <v>272</v>
      </c>
      <c r="K61" s="249">
        <v>2500</v>
      </c>
      <c r="L61" s="210">
        <v>600</v>
      </c>
      <c r="M61" s="397">
        <v>150</v>
      </c>
      <c r="N61" s="397">
        <v>200</v>
      </c>
      <c r="O61" s="398">
        <v>250</v>
      </c>
      <c r="P61" s="395">
        <f t="shared" si="1"/>
        <v>600</v>
      </c>
      <c r="R61" s="397"/>
      <c r="S61" s="397"/>
      <c r="T61" s="398"/>
      <c r="U61" s="395">
        <f t="shared" si="2"/>
        <v>0</v>
      </c>
    </row>
    <row r="62" spans="1:21" ht="42.75" customHeight="1">
      <c r="A62" s="325" t="s">
        <v>293</v>
      </c>
      <c r="B62" s="372" t="s">
        <v>328</v>
      </c>
      <c r="C62" s="371" t="s">
        <v>14</v>
      </c>
      <c r="D62" s="371" t="s">
        <v>19</v>
      </c>
      <c r="E62" s="371" t="s">
        <v>82</v>
      </c>
      <c r="F62" s="371" t="s">
        <v>158</v>
      </c>
      <c r="G62" s="371" t="s">
        <v>14</v>
      </c>
      <c r="H62" s="371" t="s">
        <v>15</v>
      </c>
      <c r="I62" s="371" t="s">
        <v>16</v>
      </c>
      <c r="J62" s="371" t="s">
        <v>272</v>
      </c>
      <c r="K62" s="249">
        <f>55+445</f>
        <v>500</v>
      </c>
      <c r="L62" s="210">
        <v>125</v>
      </c>
      <c r="M62" s="397">
        <v>40</v>
      </c>
      <c r="N62" s="397">
        <v>40</v>
      </c>
      <c r="O62" s="398">
        <v>45</v>
      </c>
      <c r="P62" s="395">
        <f t="shared" si="1"/>
        <v>125</v>
      </c>
      <c r="R62" s="397"/>
      <c r="S62" s="397"/>
      <c r="T62" s="398"/>
      <c r="U62" s="395">
        <f t="shared" si="2"/>
        <v>0</v>
      </c>
    </row>
    <row r="63" spans="1:21" ht="25.5" hidden="1">
      <c r="A63" s="236" t="s">
        <v>111</v>
      </c>
      <c r="B63" s="328" t="s">
        <v>260</v>
      </c>
      <c r="C63" s="44" t="s">
        <v>66</v>
      </c>
      <c r="D63" s="44" t="s">
        <v>19</v>
      </c>
      <c r="E63" s="44" t="s">
        <v>84</v>
      </c>
      <c r="F63" s="44" t="s">
        <v>38</v>
      </c>
      <c r="G63" s="44" t="s">
        <v>159</v>
      </c>
      <c r="H63" s="44" t="s">
        <v>38</v>
      </c>
      <c r="I63" s="44" t="s">
        <v>16</v>
      </c>
      <c r="J63" s="44" t="s">
        <v>86</v>
      </c>
      <c r="K63" s="249">
        <v>0</v>
      </c>
      <c r="P63" s="395">
        <f t="shared" si="1"/>
        <v>0</v>
      </c>
      <c r="U63" s="395">
        <f t="shared" si="2"/>
        <v>0</v>
      </c>
    </row>
    <row r="64" spans="1:21" ht="12.75">
      <c r="A64" s="236" t="s">
        <v>87</v>
      </c>
      <c r="B64" s="369" t="s">
        <v>88</v>
      </c>
      <c r="C64" s="44" t="s">
        <v>14</v>
      </c>
      <c r="D64" s="44" t="s">
        <v>89</v>
      </c>
      <c r="E64" s="44" t="s">
        <v>15</v>
      </c>
      <c r="F64" s="44" t="s">
        <v>15</v>
      </c>
      <c r="G64" s="44" t="s">
        <v>14</v>
      </c>
      <c r="H64" s="44" t="s">
        <v>15</v>
      </c>
      <c r="I64" s="44" t="s">
        <v>16</v>
      </c>
      <c r="J64" s="44" t="s">
        <v>14</v>
      </c>
      <c r="K64" s="233">
        <f>K65+K110</f>
        <v>280665</v>
      </c>
      <c r="P64" s="395">
        <f t="shared" si="1"/>
        <v>0</v>
      </c>
      <c r="U64" s="395">
        <f t="shared" si="2"/>
        <v>0</v>
      </c>
    </row>
    <row r="65" spans="1:21" ht="12.75">
      <c r="A65" s="321"/>
      <c r="B65" s="105" t="s">
        <v>90</v>
      </c>
      <c r="C65" s="44" t="s">
        <v>14</v>
      </c>
      <c r="D65" s="44" t="s">
        <v>89</v>
      </c>
      <c r="E65" s="44" t="s">
        <v>23</v>
      </c>
      <c r="F65" s="44" t="s">
        <v>15</v>
      </c>
      <c r="G65" s="44" t="s">
        <v>14</v>
      </c>
      <c r="H65" s="44" t="s">
        <v>15</v>
      </c>
      <c r="I65" s="44" t="s">
        <v>16</v>
      </c>
      <c r="J65" s="44" t="s">
        <v>14</v>
      </c>
      <c r="K65" s="233">
        <f>K66+K69+K89</f>
        <v>276606</v>
      </c>
      <c r="P65" s="395">
        <f t="shared" si="1"/>
        <v>0</v>
      </c>
      <c r="U65" s="395">
        <f t="shared" si="2"/>
        <v>0</v>
      </c>
    </row>
    <row r="66" spans="1:21" ht="12.75">
      <c r="A66" s="329" t="s">
        <v>17</v>
      </c>
      <c r="B66" s="105" t="s">
        <v>161</v>
      </c>
      <c r="C66" s="44" t="s">
        <v>14</v>
      </c>
      <c r="D66" s="44" t="s">
        <v>89</v>
      </c>
      <c r="E66" s="44" t="s">
        <v>23</v>
      </c>
      <c r="F66" s="44" t="s">
        <v>20</v>
      </c>
      <c r="G66" s="44" t="s">
        <v>264</v>
      </c>
      <c r="H66" s="44" t="s">
        <v>15</v>
      </c>
      <c r="I66" s="44" t="s">
        <v>16</v>
      </c>
      <c r="J66" s="44" t="s">
        <v>91</v>
      </c>
      <c r="K66" s="249">
        <f>K68</f>
        <v>72971</v>
      </c>
      <c r="P66" s="395">
        <f t="shared" si="1"/>
        <v>0</v>
      </c>
      <c r="U66" s="395">
        <f t="shared" si="2"/>
        <v>0</v>
      </c>
    </row>
    <row r="67" spans="1:21" ht="24" hidden="1">
      <c r="A67" s="325" t="s">
        <v>102</v>
      </c>
      <c r="B67" s="135" t="s">
        <v>160</v>
      </c>
      <c r="C67" s="371" t="s">
        <v>14</v>
      </c>
      <c r="D67" s="371" t="s">
        <v>89</v>
      </c>
      <c r="E67" s="371" t="s">
        <v>23</v>
      </c>
      <c r="F67" s="371" t="s">
        <v>20</v>
      </c>
      <c r="G67" s="371" t="s">
        <v>27</v>
      </c>
      <c r="H67" s="371" t="s">
        <v>112</v>
      </c>
      <c r="I67" s="371" t="s">
        <v>16</v>
      </c>
      <c r="J67" s="371" t="s">
        <v>91</v>
      </c>
      <c r="K67" s="249"/>
      <c r="P67" s="395">
        <f t="shared" si="1"/>
        <v>0</v>
      </c>
      <c r="U67" s="395">
        <f t="shared" si="2"/>
        <v>0</v>
      </c>
    </row>
    <row r="68" spans="1:21" ht="22.5" customHeight="1">
      <c r="A68" s="325" t="s">
        <v>21</v>
      </c>
      <c r="B68" s="135" t="s">
        <v>321</v>
      </c>
      <c r="C68" s="371" t="s">
        <v>265</v>
      </c>
      <c r="D68" s="371" t="s">
        <v>89</v>
      </c>
      <c r="E68" s="371" t="s">
        <v>23</v>
      </c>
      <c r="F68" s="371" t="s">
        <v>20</v>
      </c>
      <c r="G68" s="371" t="s">
        <v>264</v>
      </c>
      <c r="H68" s="371" t="s">
        <v>38</v>
      </c>
      <c r="I68" s="371" t="s">
        <v>16</v>
      </c>
      <c r="J68" s="371" t="s">
        <v>91</v>
      </c>
      <c r="K68" s="361">
        <v>72971</v>
      </c>
      <c r="L68" s="210">
        <v>18242</v>
      </c>
      <c r="M68" s="394">
        <v>6080</v>
      </c>
      <c r="N68" s="394">
        <v>6081</v>
      </c>
      <c r="O68" s="394">
        <v>6081</v>
      </c>
      <c r="P68" s="395">
        <f t="shared" si="1"/>
        <v>18242</v>
      </c>
      <c r="Q68">
        <v>18242</v>
      </c>
      <c r="R68" s="394">
        <v>6080</v>
      </c>
      <c r="S68" s="394">
        <v>6081</v>
      </c>
      <c r="T68" s="394">
        <v>6081</v>
      </c>
      <c r="U68" s="395">
        <f t="shared" si="2"/>
        <v>18242</v>
      </c>
    </row>
    <row r="69" spans="1:21" ht="12.75">
      <c r="A69" s="236" t="s">
        <v>36</v>
      </c>
      <c r="B69" s="105" t="s">
        <v>252</v>
      </c>
      <c r="C69" s="44" t="s">
        <v>14</v>
      </c>
      <c r="D69" s="44" t="s">
        <v>89</v>
      </c>
      <c r="E69" s="44" t="s">
        <v>23</v>
      </c>
      <c r="F69" s="44" t="s">
        <v>42</v>
      </c>
      <c r="G69" s="44" t="s">
        <v>14</v>
      </c>
      <c r="H69" s="44" t="s">
        <v>15</v>
      </c>
      <c r="I69" s="44" t="s">
        <v>16</v>
      </c>
      <c r="J69" s="44" t="s">
        <v>91</v>
      </c>
      <c r="K69" s="359">
        <f>K70+K71+K72+K73+K74+K75+K76+K77+K78+K79+K80+K82+K83+K85+K87+K88+K84</f>
        <v>201635</v>
      </c>
      <c r="P69" s="395">
        <f t="shared" si="1"/>
        <v>0</v>
      </c>
      <c r="U69" s="395">
        <f t="shared" si="2"/>
        <v>0</v>
      </c>
    </row>
    <row r="70" spans="1:21" ht="41.25" customHeight="1">
      <c r="A70" s="41"/>
      <c r="B70" s="93" t="s">
        <v>350</v>
      </c>
      <c r="C70" s="46" t="s">
        <v>270</v>
      </c>
      <c r="D70" s="46" t="s">
        <v>89</v>
      </c>
      <c r="E70" s="46" t="s">
        <v>23</v>
      </c>
      <c r="F70" s="46" t="s">
        <v>42</v>
      </c>
      <c r="G70" s="46" t="s">
        <v>348</v>
      </c>
      <c r="H70" s="46" t="s">
        <v>38</v>
      </c>
      <c r="I70" s="46" t="s">
        <v>16</v>
      </c>
      <c r="J70" s="46" t="s">
        <v>91</v>
      </c>
      <c r="K70" s="361">
        <v>786</v>
      </c>
      <c r="P70" s="395">
        <f t="shared" si="1"/>
        <v>0</v>
      </c>
      <c r="U70" s="395">
        <f t="shared" si="2"/>
        <v>0</v>
      </c>
    </row>
    <row r="71" spans="1:21" ht="24">
      <c r="A71" s="41" t="s">
        <v>301</v>
      </c>
      <c r="B71" s="93" t="s">
        <v>254</v>
      </c>
      <c r="C71" s="46" t="s">
        <v>270</v>
      </c>
      <c r="D71" s="46" t="s">
        <v>89</v>
      </c>
      <c r="E71" s="46" t="s">
        <v>23</v>
      </c>
      <c r="F71" s="46" t="s">
        <v>42</v>
      </c>
      <c r="G71" s="46" t="s">
        <v>31</v>
      </c>
      <c r="H71" s="46" t="s">
        <v>38</v>
      </c>
      <c r="I71" s="46" t="s">
        <v>16</v>
      </c>
      <c r="J71" s="46" t="s">
        <v>91</v>
      </c>
      <c r="K71" s="361">
        <v>3123</v>
      </c>
      <c r="P71" s="395">
        <f t="shared" si="1"/>
        <v>0</v>
      </c>
      <c r="U71" s="395">
        <f t="shared" si="2"/>
        <v>0</v>
      </c>
    </row>
    <row r="72" spans="1:21" ht="120" customHeight="1">
      <c r="A72" s="41" t="s">
        <v>39</v>
      </c>
      <c r="B72" s="92" t="s">
        <v>136</v>
      </c>
      <c r="C72" s="46" t="s">
        <v>270</v>
      </c>
      <c r="D72" s="46" t="s">
        <v>89</v>
      </c>
      <c r="E72" s="46" t="s">
        <v>23</v>
      </c>
      <c r="F72" s="46" t="s">
        <v>42</v>
      </c>
      <c r="G72" s="46" t="s">
        <v>195</v>
      </c>
      <c r="H72" s="46" t="s">
        <v>38</v>
      </c>
      <c r="I72" s="46" t="s">
        <v>16</v>
      </c>
      <c r="J72" s="46" t="s">
        <v>91</v>
      </c>
      <c r="K72" s="360">
        <v>147212</v>
      </c>
      <c r="P72" s="395">
        <f t="shared" si="1"/>
        <v>0</v>
      </c>
      <c r="U72" s="395">
        <f t="shared" si="2"/>
        <v>0</v>
      </c>
    </row>
    <row r="73" spans="1:21" ht="36">
      <c r="A73" s="41" t="s">
        <v>41</v>
      </c>
      <c r="B73" s="92" t="s">
        <v>137</v>
      </c>
      <c r="C73" s="46" t="s">
        <v>270</v>
      </c>
      <c r="D73" s="46" t="s">
        <v>89</v>
      </c>
      <c r="E73" s="46" t="s">
        <v>23</v>
      </c>
      <c r="F73" s="46" t="s">
        <v>42</v>
      </c>
      <c r="G73" s="46" t="s">
        <v>195</v>
      </c>
      <c r="H73" s="46" t="s">
        <v>38</v>
      </c>
      <c r="I73" s="46" t="s">
        <v>16</v>
      </c>
      <c r="J73" s="46" t="s">
        <v>91</v>
      </c>
      <c r="K73" s="360">
        <v>314</v>
      </c>
      <c r="P73" s="395">
        <f t="shared" si="1"/>
        <v>0</v>
      </c>
      <c r="U73" s="395">
        <f t="shared" si="2"/>
        <v>0</v>
      </c>
    </row>
    <row r="74" spans="1:21" ht="27.75" customHeight="1">
      <c r="A74" s="41" t="s">
        <v>95</v>
      </c>
      <c r="B74" s="93" t="s">
        <v>139</v>
      </c>
      <c r="C74" s="46" t="s">
        <v>270</v>
      </c>
      <c r="D74" s="46" t="s">
        <v>89</v>
      </c>
      <c r="E74" s="46" t="s">
        <v>23</v>
      </c>
      <c r="F74" s="46" t="s">
        <v>42</v>
      </c>
      <c r="G74" s="46" t="s">
        <v>195</v>
      </c>
      <c r="H74" s="46" t="s">
        <v>38</v>
      </c>
      <c r="I74" s="46" t="s">
        <v>16</v>
      </c>
      <c r="J74" s="46" t="s">
        <v>91</v>
      </c>
      <c r="K74" s="360">
        <v>910</v>
      </c>
      <c r="P74" s="395">
        <f t="shared" si="1"/>
        <v>0</v>
      </c>
      <c r="U74" s="395">
        <f t="shared" si="2"/>
        <v>0</v>
      </c>
    </row>
    <row r="75" spans="1:21" ht="48">
      <c r="A75" s="41" t="s">
        <v>109</v>
      </c>
      <c r="B75" s="93" t="s">
        <v>140</v>
      </c>
      <c r="C75" s="46" t="s">
        <v>270</v>
      </c>
      <c r="D75" s="46" t="s">
        <v>89</v>
      </c>
      <c r="E75" s="46" t="s">
        <v>23</v>
      </c>
      <c r="F75" s="46" t="s">
        <v>42</v>
      </c>
      <c r="G75" s="46" t="s">
        <v>195</v>
      </c>
      <c r="H75" s="46" t="s">
        <v>38</v>
      </c>
      <c r="I75" s="46" t="s">
        <v>16</v>
      </c>
      <c r="J75" s="46" t="s">
        <v>91</v>
      </c>
      <c r="K75" s="360">
        <v>3682</v>
      </c>
      <c r="P75" s="395">
        <f t="shared" si="1"/>
        <v>0</v>
      </c>
      <c r="U75" s="395">
        <f t="shared" si="2"/>
        <v>0</v>
      </c>
    </row>
    <row r="76" spans="1:21" ht="60">
      <c r="A76" s="41" t="s">
        <v>110</v>
      </c>
      <c r="B76" s="93" t="s">
        <v>141</v>
      </c>
      <c r="C76" s="46" t="s">
        <v>270</v>
      </c>
      <c r="D76" s="46" t="s">
        <v>89</v>
      </c>
      <c r="E76" s="46" t="s">
        <v>23</v>
      </c>
      <c r="F76" s="46" t="s">
        <v>42</v>
      </c>
      <c r="G76" s="46" t="s">
        <v>195</v>
      </c>
      <c r="H76" s="46" t="s">
        <v>38</v>
      </c>
      <c r="I76" s="46" t="s">
        <v>16</v>
      </c>
      <c r="J76" s="46" t="s">
        <v>91</v>
      </c>
      <c r="K76" s="360">
        <v>15477</v>
      </c>
      <c r="P76" s="395">
        <f t="shared" si="1"/>
        <v>0</v>
      </c>
      <c r="U76" s="395">
        <f t="shared" si="2"/>
        <v>0</v>
      </c>
    </row>
    <row r="77" spans="1:21" ht="48">
      <c r="A77" s="41" t="s">
        <v>294</v>
      </c>
      <c r="B77" s="93" t="s">
        <v>142</v>
      </c>
      <c r="C77" s="46" t="s">
        <v>270</v>
      </c>
      <c r="D77" s="46" t="s">
        <v>89</v>
      </c>
      <c r="E77" s="46" t="s">
        <v>23</v>
      </c>
      <c r="F77" s="46" t="s">
        <v>42</v>
      </c>
      <c r="G77" s="46" t="s">
        <v>195</v>
      </c>
      <c r="H77" s="46" t="s">
        <v>38</v>
      </c>
      <c r="I77" s="46" t="s">
        <v>16</v>
      </c>
      <c r="J77" s="46" t="s">
        <v>91</v>
      </c>
      <c r="K77" s="360">
        <v>13930</v>
      </c>
      <c r="P77" s="395">
        <f t="shared" si="1"/>
        <v>0</v>
      </c>
      <c r="U77" s="395">
        <f t="shared" si="2"/>
        <v>0</v>
      </c>
    </row>
    <row r="78" spans="1:21" ht="36">
      <c r="A78" s="41" t="s">
        <v>295</v>
      </c>
      <c r="B78" s="93" t="s">
        <v>143</v>
      </c>
      <c r="C78" s="46" t="s">
        <v>270</v>
      </c>
      <c r="D78" s="46" t="s">
        <v>89</v>
      </c>
      <c r="E78" s="46" t="s">
        <v>23</v>
      </c>
      <c r="F78" s="46" t="s">
        <v>42</v>
      </c>
      <c r="G78" s="46" t="s">
        <v>195</v>
      </c>
      <c r="H78" s="46" t="s">
        <v>38</v>
      </c>
      <c r="I78" s="46" t="s">
        <v>16</v>
      </c>
      <c r="J78" s="46" t="s">
        <v>91</v>
      </c>
      <c r="K78" s="360">
        <v>5181</v>
      </c>
      <c r="P78" s="395">
        <f t="shared" si="1"/>
        <v>0</v>
      </c>
      <c r="U78" s="395">
        <f t="shared" si="2"/>
        <v>0</v>
      </c>
    </row>
    <row r="79" spans="1:21" ht="24">
      <c r="A79" s="41" t="s">
        <v>296</v>
      </c>
      <c r="B79" s="93" t="s">
        <v>144</v>
      </c>
      <c r="C79" s="46" t="s">
        <v>270</v>
      </c>
      <c r="D79" s="46" t="s">
        <v>89</v>
      </c>
      <c r="E79" s="46" t="s">
        <v>23</v>
      </c>
      <c r="F79" s="46" t="s">
        <v>42</v>
      </c>
      <c r="G79" s="46" t="s">
        <v>195</v>
      </c>
      <c r="H79" s="46" t="s">
        <v>38</v>
      </c>
      <c r="I79" s="46" t="s">
        <v>16</v>
      </c>
      <c r="J79" s="46" t="s">
        <v>91</v>
      </c>
      <c r="K79" s="360">
        <v>185</v>
      </c>
      <c r="L79" s="210">
        <v>46</v>
      </c>
      <c r="M79">
        <v>15</v>
      </c>
      <c r="P79" s="395">
        <f t="shared" si="1"/>
        <v>15</v>
      </c>
      <c r="U79" s="395">
        <f t="shared" si="2"/>
        <v>0</v>
      </c>
    </row>
    <row r="80" spans="1:21" ht="48">
      <c r="A80" s="41" t="s">
        <v>297</v>
      </c>
      <c r="B80" s="93" t="s">
        <v>245</v>
      </c>
      <c r="C80" s="46" t="s">
        <v>270</v>
      </c>
      <c r="D80" s="46" t="s">
        <v>89</v>
      </c>
      <c r="E80" s="46" t="s">
        <v>23</v>
      </c>
      <c r="F80" s="46" t="s">
        <v>42</v>
      </c>
      <c r="G80" s="46" t="s">
        <v>195</v>
      </c>
      <c r="H80" s="46" t="s">
        <v>38</v>
      </c>
      <c r="I80" s="46" t="s">
        <v>16</v>
      </c>
      <c r="J80" s="46" t="s">
        <v>91</v>
      </c>
      <c r="K80" s="360">
        <v>491</v>
      </c>
      <c r="P80" s="395">
        <f t="shared" si="1"/>
        <v>0</v>
      </c>
      <c r="U80" s="395">
        <f t="shared" si="2"/>
        <v>0</v>
      </c>
    </row>
    <row r="81" spans="1:21" ht="24" hidden="1">
      <c r="A81" s="41" t="s">
        <v>298</v>
      </c>
      <c r="B81" s="93" t="s">
        <v>246</v>
      </c>
      <c r="C81" s="46" t="s">
        <v>270</v>
      </c>
      <c r="D81" s="46" t="s">
        <v>89</v>
      </c>
      <c r="E81" s="46" t="s">
        <v>23</v>
      </c>
      <c r="F81" s="46" t="s">
        <v>42</v>
      </c>
      <c r="G81" s="46" t="s">
        <v>195</v>
      </c>
      <c r="H81" s="46" t="s">
        <v>38</v>
      </c>
      <c r="I81" s="46" t="s">
        <v>16</v>
      </c>
      <c r="J81" s="46" t="s">
        <v>91</v>
      </c>
      <c r="K81" s="359"/>
      <c r="P81" s="395">
        <f t="shared" si="1"/>
        <v>0</v>
      </c>
      <c r="U81" s="395">
        <f t="shared" si="2"/>
        <v>0</v>
      </c>
    </row>
    <row r="82" spans="1:21" ht="39" customHeight="1">
      <c r="A82" s="41"/>
      <c r="B82" s="93" t="s">
        <v>345</v>
      </c>
      <c r="C82" s="46" t="s">
        <v>270</v>
      </c>
      <c r="D82" s="46" t="s">
        <v>89</v>
      </c>
      <c r="E82" s="46" t="s">
        <v>23</v>
      </c>
      <c r="F82" s="46" t="s">
        <v>42</v>
      </c>
      <c r="G82" s="46" t="s">
        <v>195</v>
      </c>
      <c r="H82" s="46" t="s">
        <v>38</v>
      </c>
      <c r="I82" s="46" t="s">
        <v>16</v>
      </c>
      <c r="J82" s="46" t="s">
        <v>91</v>
      </c>
      <c r="K82" s="361">
        <v>681</v>
      </c>
      <c r="P82" s="395">
        <f t="shared" si="1"/>
        <v>0</v>
      </c>
      <c r="U82" s="395">
        <f t="shared" si="2"/>
        <v>0</v>
      </c>
    </row>
    <row r="83" spans="1:21" ht="50.25" customHeight="1">
      <c r="A83" s="41" t="s">
        <v>304</v>
      </c>
      <c r="B83" s="93" t="s">
        <v>325</v>
      </c>
      <c r="C83" s="46" t="s">
        <v>270</v>
      </c>
      <c r="D83" s="46" t="s">
        <v>89</v>
      </c>
      <c r="E83" s="46" t="s">
        <v>23</v>
      </c>
      <c r="F83" s="46" t="s">
        <v>42</v>
      </c>
      <c r="G83" s="46" t="s">
        <v>195</v>
      </c>
      <c r="H83" s="46" t="s">
        <v>38</v>
      </c>
      <c r="I83" s="46" t="s">
        <v>16</v>
      </c>
      <c r="J83" s="46" t="s">
        <v>91</v>
      </c>
      <c r="K83" s="361">
        <v>367</v>
      </c>
      <c r="P83" s="395">
        <f t="shared" si="1"/>
        <v>0</v>
      </c>
      <c r="U83" s="395">
        <f t="shared" si="2"/>
        <v>0</v>
      </c>
    </row>
    <row r="84" spans="1:21" ht="50.25" customHeight="1">
      <c r="A84" s="41"/>
      <c r="B84" s="93" t="s">
        <v>351</v>
      </c>
      <c r="C84" s="46" t="s">
        <v>270</v>
      </c>
      <c r="D84" s="46" t="s">
        <v>89</v>
      </c>
      <c r="E84" s="46" t="s">
        <v>23</v>
      </c>
      <c r="F84" s="46" t="s">
        <v>42</v>
      </c>
      <c r="G84" s="46" t="s">
        <v>195</v>
      </c>
      <c r="H84" s="46" t="s">
        <v>38</v>
      </c>
      <c r="I84" s="46" t="s">
        <v>16</v>
      </c>
      <c r="J84" s="46" t="s">
        <v>91</v>
      </c>
      <c r="K84" s="361">
        <v>138</v>
      </c>
      <c r="P84" s="395">
        <f t="shared" si="1"/>
        <v>0</v>
      </c>
      <c r="U84" s="395">
        <f t="shared" si="2"/>
        <v>0</v>
      </c>
    </row>
    <row r="85" spans="1:21" ht="36">
      <c r="A85" s="41" t="s">
        <v>299</v>
      </c>
      <c r="B85" s="93" t="s">
        <v>247</v>
      </c>
      <c r="C85" s="46" t="s">
        <v>270</v>
      </c>
      <c r="D85" s="46" t="s">
        <v>89</v>
      </c>
      <c r="E85" s="46" t="s">
        <v>23</v>
      </c>
      <c r="F85" s="46" t="s">
        <v>42</v>
      </c>
      <c r="G85" s="46" t="s">
        <v>322</v>
      </c>
      <c r="H85" s="46" t="s">
        <v>38</v>
      </c>
      <c r="I85" s="46" t="s">
        <v>16</v>
      </c>
      <c r="J85" s="46" t="s">
        <v>91</v>
      </c>
      <c r="K85" s="361">
        <v>600</v>
      </c>
      <c r="P85" s="395">
        <f t="shared" si="1"/>
        <v>0</v>
      </c>
      <c r="U85" s="395">
        <f t="shared" si="2"/>
        <v>0</v>
      </c>
    </row>
    <row r="86" spans="1:21" ht="48" hidden="1">
      <c r="A86" s="41" t="s">
        <v>300</v>
      </c>
      <c r="B86" s="93" t="s">
        <v>248</v>
      </c>
      <c r="C86" s="46" t="s">
        <v>270</v>
      </c>
      <c r="D86" s="46" t="s">
        <v>89</v>
      </c>
      <c r="E86" s="46" t="s">
        <v>23</v>
      </c>
      <c r="F86" s="46" t="s">
        <v>42</v>
      </c>
      <c r="G86" s="46" t="s">
        <v>323</v>
      </c>
      <c r="H86" s="46" t="s">
        <v>38</v>
      </c>
      <c r="I86" s="46" t="s">
        <v>16</v>
      </c>
      <c r="J86" s="46" t="s">
        <v>91</v>
      </c>
      <c r="K86" s="361"/>
      <c r="P86" s="395">
        <f t="shared" si="1"/>
        <v>0</v>
      </c>
      <c r="U86" s="395">
        <f t="shared" si="2"/>
        <v>0</v>
      </c>
    </row>
    <row r="87" spans="1:21" ht="48">
      <c r="A87" s="41" t="s">
        <v>303</v>
      </c>
      <c r="B87" s="93" t="s">
        <v>280</v>
      </c>
      <c r="C87" s="46" t="s">
        <v>270</v>
      </c>
      <c r="D87" s="46" t="s">
        <v>89</v>
      </c>
      <c r="E87" s="46" t="s">
        <v>23</v>
      </c>
      <c r="F87" s="46" t="s">
        <v>42</v>
      </c>
      <c r="G87" s="46" t="s">
        <v>324</v>
      </c>
      <c r="H87" s="46" t="s">
        <v>38</v>
      </c>
      <c r="I87" s="46" t="s">
        <v>16</v>
      </c>
      <c r="J87" s="46" t="s">
        <v>91</v>
      </c>
      <c r="K87" s="361">
        <v>5175</v>
      </c>
      <c r="P87" s="395">
        <f aca="true" t="shared" si="3" ref="P87:P116">M87+N87+O87</f>
        <v>0</v>
      </c>
      <c r="U87" s="395">
        <f aca="true" t="shared" si="4" ref="U87:U116">R87+S87+T87</f>
        <v>0</v>
      </c>
    </row>
    <row r="88" spans="1:21" ht="36">
      <c r="A88" s="41" t="s">
        <v>302</v>
      </c>
      <c r="B88" s="93" t="s">
        <v>255</v>
      </c>
      <c r="C88" s="46" t="s">
        <v>270</v>
      </c>
      <c r="D88" s="46" t="s">
        <v>89</v>
      </c>
      <c r="E88" s="46" t="s">
        <v>23</v>
      </c>
      <c r="F88" s="46" t="s">
        <v>42</v>
      </c>
      <c r="G88" s="46" t="s">
        <v>200</v>
      </c>
      <c r="H88" s="46" t="s">
        <v>38</v>
      </c>
      <c r="I88" s="46" t="s">
        <v>16</v>
      </c>
      <c r="J88" s="46" t="s">
        <v>91</v>
      </c>
      <c r="K88" s="361">
        <v>3383</v>
      </c>
      <c r="P88" s="395">
        <f t="shared" si="3"/>
        <v>0</v>
      </c>
      <c r="U88" s="395">
        <f t="shared" si="4"/>
        <v>0</v>
      </c>
    </row>
    <row r="89" spans="1:21" ht="36">
      <c r="A89" s="41" t="s">
        <v>305</v>
      </c>
      <c r="B89" s="93" t="s">
        <v>349</v>
      </c>
      <c r="C89" s="46" t="s">
        <v>270</v>
      </c>
      <c r="D89" s="46" t="s">
        <v>89</v>
      </c>
      <c r="E89" s="46" t="s">
        <v>23</v>
      </c>
      <c r="F89" s="46" t="s">
        <v>77</v>
      </c>
      <c r="G89" s="46" t="s">
        <v>66</v>
      </c>
      <c r="H89" s="46" t="s">
        <v>38</v>
      </c>
      <c r="I89" s="46" t="s">
        <v>16</v>
      </c>
      <c r="J89" s="46" t="s">
        <v>91</v>
      </c>
      <c r="K89" s="252">
        <f>K90+K91</f>
        <v>2000</v>
      </c>
      <c r="P89" s="395">
        <f t="shared" si="3"/>
        <v>0</v>
      </c>
      <c r="U89" s="395">
        <f t="shared" si="4"/>
        <v>0</v>
      </c>
    </row>
    <row r="90" spans="1:21" ht="12.75">
      <c r="A90" s="41"/>
      <c r="B90" s="93" t="s">
        <v>331</v>
      </c>
      <c r="C90" s="46" t="s">
        <v>270</v>
      </c>
      <c r="D90" s="46" t="s">
        <v>89</v>
      </c>
      <c r="E90" s="46" t="s">
        <v>23</v>
      </c>
      <c r="F90" s="46" t="s">
        <v>77</v>
      </c>
      <c r="G90" s="46" t="s">
        <v>66</v>
      </c>
      <c r="H90" s="46" t="s">
        <v>38</v>
      </c>
      <c r="I90" s="46" t="s">
        <v>16</v>
      </c>
      <c r="J90" s="46" t="s">
        <v>91</v>
      </c>
      <c r="K90" s="251">
        <v>500</v>
      </c>
      <c r="P90" s="395">
        <f t="shared" si="3"/>
        <v>0</v>
      </c>
      <c r="U90" s="395">
        <f t="shared" si="4"/>
        <v>0</v>
      </c>
    </row>
    <row r="91" spans="1:21" ht="24">
      <c r="A91" s="41"/>
      <c r="B91" s="93" t="s">
        <v>332</v>
      </c>
      <c r="C91" s="46" t="s">
        <v>270</v>
      </c>
      <c r="D91" s="46" t="s">
        <v>89</v>
      </c>
      <c r="E91" s="46" t="s">
        <v>23</v>
      </c>
      <c r="F91" s="46" t="s">
        <v>77</v>
      </c>
      <c r="G91" s="46" t="s">
        <v>66</v>
      </c>
      <c r="H91" s="46" t="s">
        <v>38</v>
      </c>
      <c r="I91" s="46" t="s">
        <v>16</v>
      </c>
      <c r="J91" s="46" t="s">
        <v>91</v>
      </c>
      <c r="K91" s="251">
        <v>1500</v>
      </c>
      <c r="P91" s="395">
        <f t="shared" si="3"/>
        <v>0</v>
      </c>
      <c r="U91" s="395">
        <f t="shared" si="4"/>
        <v>0</v>
      </c>
    </row>
    <row r="92" spans="1:21" ht="12.75" hidden="1">
      <c r="A92" s="236" t="s">
        <v>44</v>
      </c>
      <c r="B92" s="105" t="s">
        <v>253</v>
      </c>
      <c r="C92" s="69" t="s">
        <v>14</v>
      </c>
      <c r="D92" s="69" t="s">
        <v>89</v>
      </c>
      <c r="E92" s="69" t="s">
        <v>23</v>
      </c>
      <c r="F92" s="69" t="s">
        <v>77</v>
      </c>
      <c r="G92" s="69" t="s">
        <v>14</v>
      </c>
      <c r="H92" s="69" t="s">
        <v>15</v>
      </c>
      <c r="I92" s="69" t="s">
        <v>16</v>
      </c>
      <c r="J92" s="69" t="s">
        <v>14</v>
      </c>
      <c r="K92" s="249">
        <f>K95+K96+K97+K98+K100+K101+K102+K103+K104+K105+K106+K107+K109</f>
        <v>0</v>
      </c>
      <c r="P92" s="395">
        <f t="shared" si="3"/>
        <v>0</v>
      </c>
      <c r="U92" s="395">
        <f t="shared" si="4"/>
        <v>0</v>
      </c>
    </row>
    <row r="93" spans="1:21" ht="12.75" hidden="1">
      <c r="A93" s="236"/>
      <c r="B93" s="105"/>
      <c r="C93" s="69"/>
      <c r="D93" s="69"/>
      <c r="E93" s="69"/>
      <c r="F93" s="69"/>
      <c r="G93" s="69"/>
      <c r="H93" s="69"/>
      <c r="I93" s="69"/>
      <c r="J93" s="69"/>
      <c r="K93" s="249"/>
      <c r="P93" s="395">
        <f t="shared" si="3"/>
        <v>0</v>
      </c>
      <c r="U93" s="395">
        <f t="shared" si="4"/>
        <v>0</v>
      </c>
    </row>
    <row r="94" spans="1:21" ht="12.75" hidden="1">
      <c r="A94" s="236"/>
      <c r="B94" s="93" t="s">
        <v>134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265</v>
      </c>
      <c r="H94" s="70" t="s">
        <v>38</v>
      </c>
      <c r="I94" s="70" t="s">
        <v>16</v>
      </c>
      <c r="J94" s="70" t="s">
        <v>91</v>
      </c>
      <c r="K94" s="326">
        <v>0</v>
      </c>
      <c r="P94" s="395">
        <f t="shared" si="3"/>
        <v>0</v>
      </c>
      <c r="U94" s="395">
        <f t="shared" si="4"/>
        <v>0</v>
      </c>
    </row>
    <row r="95" spans="1:21" ht="12.75" hidden="1">
      <c r="A95" s="325" t="s">
        <v>306</v>
      </c>
      <c r="B95" s="93" t="s">
        <v>133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265</v>
      </c>
      <c r="H95" s="70" t="s">
        <v>38</v>
      </c>
      <c r="I95" s="70" t="s">
        <v>16</v>
      </c>
      <c r="J95" s="70" t="s">
        <v>91</v>
      </c>
      <c r="K95" s="326">
        <v>0</v>
      </c>
      <c r="P95" s="395">
        <f t="shared" si="3"/>
        <v>0</v>
      </c>
      <c r="U95" s="395">
        <f t="shared" si="4"/>
        <v>0</v>
      </c>
    </row>
    <row r="96" spans="1:21" ht="12.75" hidden="1">
      <c r="A96" s="325" t="s">
        <v>97</v>
      </c>
      <c r="B96" s="93" t="s">
        <v>236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265</v>
      </c>
      <c r="H96" s="70" t="s">
        <v>38</v>
      </c>
      <c r="I96" s="70" t="s">
        <v>16</v>
      </c>
      <c r="J96" s="70" t="s">
        <v>91</v>
      </c>
      <c r="K96" s="326">
        <v>0</v>
      </c>
      <c r="P96" s="395">
        <f t="shared" si="3"/>
        <v>0</v>
      </c>
      <c r="U96" s="395">
        <f t="shared" si="4"/>
        <v>0</v>
      </c>
    </row>
    <row r="97" spans="1:21" ht="24" hidden="1">
      <c r="A97" s="325" t="s">
        <v>237</v>
      </c>
      <c r="B97" s="93" t="s">
        <v>96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265</v>
      </c>
      <c r="H97" s="70" t="s">
        <v>38</v>
      </c>
      <c r="I97" s="70" t="s">
        <v>16</v>
      </c>
      <c r="J97" s="70" t="s">
        <v>91</v>
      </c>
      <c r="K97" s="326">
        <v>0</v>
      </c>
      <c r="P97" s="395">
        <f t="shared" si="3"/>
        <v>0</v>
      </c>
      <c r="U97" s="395">
        <f t="shared" si="4"/>
        <v>0</v>
      </c>
    </row>
    <row r="98" spans="1:21" ht="24" hidden="1">
      <c r="A98" s="325" t="s">
        <v>307</v>
      </c>
      <c r="B98" s="93" t="s">
        <v>239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265</v>
      </c>
      <c r="H98" s="70" t="s">
        <v>38</v>
      </c>
      <c r="I98" s="70" t="s">
        <v>16</v>
      </c>
      <c r="J98" s="70" t="s">
        <v>91</v>
      </c>
      <c r="K98" s="326">
        <v>0</v>
      </c>
      <c r="P98" s="395">
        <f t="shared" si="3"/>
        <v>0</v>
      </c>
      <c r="U98" s="395">
        <f t="shared" si="4"/>
        <v>0</v>
      </c>
    </row>
    <row r="99" spans="1:21" ht="12.75" hidden="1">
      <c r="A99" s="325"/>
      <c r="B99" s="93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265</v>
      </c>
      <c r="H99" s="70" t="s">
        <v>38</v>
      </c>
      <c r="I99" s="70" t="s">
        <v>16</v>
      </c>
      <c r="J99" s="70" t="s">
        <v>91</v>
      </c>
      <c r="K99" s="64"/>
      <c r="P99" s="395">
        <f t="shared" si="3"/>
        <v>0</v>
      </c>
      <c r="U99" s="395">
        <f t="shared" si="4"/>
        <v>0</v>
      </c>
    </row>
    <row r="100" spans="1:21" ht="36" hidden="1">
      <c r="A100" s="325" t="s">
        <v>249</v>
      </c>
      <c r="B100" s="93" t="s">
        <v>244</v>
      </c>
      <c r="C100" s="70" t="s">
        <v>14</v>
      </c>
      <c r="D100" s="70" t="s">
        <v>89</v>
      </c>
      <c r="E100" s="70" t="s">
        <v>23</v>
      </c>
      <c r="F100" s="70" t="s">
        <v>77</v>
      </c>
      <c r="G100" s="70" t="s">
        <v>265</v>
      </c>
      <c r="H100" s="70" t="s">
        <v>38</v>
      </c>
      <c r="I100" s="70" t="s">
        <v>16</v>
      </c>
      <c r="J100" s="70" t="s">
        <v>91</v>
      </c>
      <c r="K100" s="326">
        <v>0</v>
      </c>
      <c r="P100" s="395">
        <f t="shared" si="3"/>
        <v>0</v>
      </c>
      <c r="U100" s="395">
        <f t="shared" si="4"/>
        <v>0</v>
      </c>
    </row>
    <row r="101" spans="1:21" ht="36" hidden="1">
      <c r="A101" s="325" t="s">
        <v>250</v>
      </c>
      <c r="B101" s="93" t="s">
        <v>243</v>
      </c>
      <c r="C101" s="70" t="s">
        <v>14</v>
      </c>
      <c r="D101" s="70" t="s">
        <v>89</v>
      </c>
      <c r="E101" s="70" t="s">
        <v>23</v>
      </c>
      <c r="F101" s="70" t="s">
        <v>77</v>
      </c>
      <c r="G101" s="70" t="s">
        <v>265</v>
      </c>
      <c r="H101" s="70" t="s">
        <v>38</v>
      </c>
      <c r="I101" s="70" t="s">
        <v>16</v>
      </c>
      <c r="J101" s="70" t="s">
        <v>91</v>
      </c>
      <c r="K101" s="326">
        <v>0</v>
      </c>
      <c r="P101" s="395">
        <f t="shared" si="3"/>
        <v>0</v>
      </c>
      <c r="U101" s="395">
        <f t="shared" si="4"/>
        <v>0</v>
      </c>
    </row>
    <row r="102" spans="1:21" ht="36" hidden="1">
      <c r="A102" s="325" t="s">
        <v>251</v>
      </c>
      <c r="B102" s="93" t="s">
        <v>242</v>
      </c>
      <c r="C102" s="70" t="s">
        <v>14</v>
      </c>
      <c r="D102" s="70" t="s">
        <v>89</v>
      </c>
      <c r="E102" s="70" t="s">
        <v>23</v>
      </c>
      <c r="F102" s="70" t="s">
        <v>77</v>
      </c>
      <c r="G102" s="70" t="s">
        <v>265</v>
      </c>
      <c r="H102" s="70" t="s">
        <v>38</v>
      </c>
      <c r="I102" s="70" t="s">
        <v>16</v>
      </c>
      <c r="J102" s="70" t="s">
        <v>91</v>
      </c>
      <c r="K102" s="326">
        <v>0</v>
      </c>
      <c r="P102" s="395">
        <f t="shared" si="3"/>
        <v>0</v>
      </c>
      <c r="U102" s="395">
        <f t="shared" si="4"/>
        <v>0</v>
      </c>
    </row>
    <row r="103" spans="1:21" ht="36" hidden="1">
      <c r="A103" s="325" t="s">
        <v>263</v>
      </c>
      <c r="B103" s="93" t="s">
        <v>241</v>
      </c>
      <c r="C103" s="70" t="s">
        <v>14</v>
      </c>
      <c r="D103" s="70" t="s">
        <v>89</v>
      </c>
      <c r="E103" s="70" t="s">
        <v>23</v>
      </c>
      <c r="F103" s="70" t="s">
        <v>77</v>
      </c>
      <c r="G103" s="70" t="s">
        <v>265</v>
      </c>
      <c r="H103" s="70" t="s">
        <v>38</v>
      </c>
      <c r="I103" s="70" t="s">
        <v>16</v>
      </c>
      <c r="J103" s="70" t="s">
        <v>91</v>
      </c>
      <c r="K103" s="326">
        <v>0</v>
      </c>
      <c r="P103" s="395">
        <f t="shared" si="3"/>
        <v>0</v>
      </c>
      <c r="U103" s="395">
        <f t="shared" si="4"/>
        <v>0</v>
      </c>
    </row>
    <row r="104" spans="1:21" ht="36" hidden="1">
      <c r="A104" s="325" t="s">
        <v>308</v>
      </c>
      <c r="B104" s="93" t="s">
        <v>240</v>
      </c>
      <c r="C104" s="70" t="s">
        <v>14</v>
      </c>
      <c r="D104" s="70" t="s">
        <v>89</v>
      </c>
      <c r="E104" s="70" t="s">
        <v>23</v>
      </c>
      <c r="F104" s="70" t="s">
        <v>77</v>
      </c>
      <c r="G104" s="70" t="s">
        <v>265</v>
      </c>
      <c r="H104" s="70" t="s">
        <v>38</v>
      </c>
      <c r="I104" s="70" t="s">
        <v>16</v>
      </c>
      <c r="J104" s="70" t="s">
        <v>91</v>
      </c>
      <c r="K104" s="326">
        <v>0</v>
      </c>
      <c r="P104" s="395">
        <f t="shared" si="3"/>
        <v>0</v>
      </c>
      <c r="U104" s="395">
        <f t="shared" si="4"/>
        <v>0</v>
      </c>
    </row>
    <row r="105" spans="1:21" ht="33" customHeight="1" hidden="1">
      <c r="A105" s="325" t="s">
        <v>309</v>
      </c>
      <c r="B105" s="135" t="s">
        <v>281</v>
      </c>
      <c r="C105" s="69" t="s">
        <v>14</v>
      </c>
      <c r="D105" s="69" t="s">
        <v>89</v>
      </c>
      <c r="E105" s="69" t="s">
        <v>23</v>
      </c>
      <c r="F105" s="69" t="s">
        <v>77</v>
      </c>
      <c r="G105" s="69" t="s">
        <v>265</v>
      </c>
      <c r="H105" s="69" t="s">
        <v>38</v>
      </c>
      <c r="I105" s="69" t="s">
        <v>16</v>
      </c>
      <c r="J105" s="69" t="s">
        <v>91</v>
      </c>
      <c r="K105" s="233">
        <v>0</v>
      </c>
      <c r="P105" s="395">
        <f t="shared" si="3"/>
        <v>0</v>
      </c>
      <c r="U105" s="395">
        <f t="shared" si="4"/>
        <v>0</v>
      </c>
    </row>
    <row r="106" spans="1:21" ht="36.75" customHeight="1" hidden="1">
      <c r="A106" s="325" t="s">
        <v>310</v>
      </c>
      <c r="B106" s="135" t="s">
        <v>238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268</v>
      </c>
      <c r="H106" s="69" t="s">
        <v>38</v>
      </c>
      <c r="I106" s="69" t="s">
        <v>16</v>
      </c>
      <c r="J106" s="69" t="s">
        <v>91</v>
      </c>
      <c r="K106" s="233">
        <v>0</v>
      </c>
      <c r="P106" s="395">
        <f t="shared" si="3"/>
        <v>0</v>
      </c>
      <c r="U106" s="395">
        <f t="shared" si="4"/>
        <v>0</v>
      </c>
    </row>
    <row r="107" spans="1:21" ht="12.75" hidden="1">
      <c r="A107" s="325" t="s">
        <v>311</v>
      </c>
      <c r="B107" s="135" t="s">
        <v>282</v>
      </c>
      <c r="C107" s="69" t="s">
        <v>14</v>
      </c>
      <c r="D107" s="69" t="s">
        <v>89</v>
      </c>
      <c r="E107" s="69" t="s">
        <v>23</v>
      </c>
      <c r="F107" s="69" t="s">
        <v>77</v>
      </c>
      <c r="G107" s="69" t="s">
        <v>267</v>
      </c>
      <c r="H107" s="69" t="s">
        <v>38</v>
      </c>
      <c r="I107" s="69" t="s">
        <v>16</v>
      </c>
      <c r="J107" s="69" t="s">
        <v>91</v>
      </c>
      <c r="K107" s="233">
        <v>0</v>
      </c>
      <c r="P107" s="395">
        <f t="shared" si="3"/>
        <v>0</v>
      </c>
      <c r="U107" s="395">
        <f t="shared" si="4"/>
        <v>0</v>
      </c>
    </row>
    <row r="108" spans="1:21" ht="36" hidden="1">
      <c r="A108" s="325" t="s">
        <v>312</v>
      </c>
      <c r="B108" s="135" t="s">
        <v>283</v>
      </c>
      <c r="C108" s="69" t="s">
        <v>14</v>
      </c>
      <c r="D108" s="69" t="s">
        <v>89</v>
      </c>
      <c r="E108" s="69" t="s">
        <v>23</v>
      </c>
      <c r="F108" s="69" t="s">
        <v>23</v>
      </c>
      <c r="G108" s="69" t="s">
        <v>266</v>
      </c>
      <c r="H108" s="69" t="s">
        <v>38</v>
      </c>
      <c r="I108" s="69" t="s">
        <v>16</v>
      </c>
      <c r="J108" s="69" t="s">
        <v>91</v>
      </c>
      <c r="K108" s="233">
        <v>0</v>
      </c>
      <c r="P108" s="395">
        <f t="shared" si="3"/>
        <v>0</v>
      </c>
      <c r="U108" s="395">
        <f t="shared" si="4"/>
        <v>0</v>
      </c>
    </row>
    <row r="109" spans="1:21" ht="24" hidden="1">
      <c r="A109" s="325" t="s">
        <v>313</v>
      </c>
      <c r="B109" s="135" t="s">
        <v>271</v>
      </c>
      <c r="C109" s="69" t="s">
        <v>14</v>
      </c>
      <c r="D109" s="69" t="s">
        <v>89</v>
      </c>
      <c r="E109" s="69" t="s">
        <v>23</v>
      </c>
      <c r="F109" s="69" t="s">
        <v>77</v>
      </c>
      <c r="G109" s="69" t="s">
        <v>284</v>
      </c>
      <c r="H109" s="69" t="s">
        <v>38</v>
      </c>
      <c r="I109" s="69" t="s">
        <v>16</v>
      </c>
      <c r="J109" s="69" t="s">
        <v>91</v>
      </c>
      <c r="K109" s="233">
        <v>0</v>
      </c>
      <c r="P109" s="395">
        <f t="shared" si="3"/>
        <v>0</v>
      </c>
      <c r="U109" s="395">
        <f t="shared" si="4"/>
        <v>0</v>
      </c>
    </row>
    <row r="110" spans="1:21" ht="24">
      <c r="A110" s="325"/>
      <c r="B110" s="135" t="s">
        <v>353</v>
      </c>
      <c r="C110" s="69" t="s">
        <v>14</v>
      </c>
      <c r="D110" s="69" t="s">
        <v>89</v>
      </c>
      <c r="E110" s="69" t="s">
        <v>55</v>
      </c>
      <c r="F110" s="69" t="s">
        <v>38</v>
      </c>
      <c r="G110" s="69" t="s">
        <v>14</v>
      </c>
      <c r="H110" s="69" t="s">
        <v>38</v>
      </c>
      <c r="I110" s="69" t="s">
        <v>16</v>
      </c>
      <c r="J110" s="69" t="s">
        <v>86</v>
      </c>
      <c r="K110" s="249">
        <v>4059</v>
      </c>
      <c r="P110" s="395">
        <f t="shared" si="3"/>
        <v>0</v>
      </c>
      <c r="U110" s="395">
        <f t="shared" si="4"/>
        <v>0</v>
      </c>
    </row>
    <row r="111" spans="1:21" ht="27" customHeight="1" hidden="1">
      <c r="A111" s="236" t="s">
        <v>98</v>
      </c>
      <c r="B111" s="330" t="s">
        <v>167</v>
      </c>
      <c r="C111" s="69" t="s">
        <v>14</v>
      </c>
      <c r="D111" s="69" t="s">
        <v>99</v>
      </c>
      <c r="E111" s="69" t="s">
        <v>15</v>
      </c>
      <c r="F111" s="69" t="s">
        <v>15</v>
      </c>
      <c r="G111" s="69" t="s">
        <v>14</v>
      </c>
      <c r="H111" s="69" t="s">
        <v>15</v>
      </c>
      <c r="I111" s="69" t="s">
        <v>16</v>
      </c>
      <c r="J111" s="69" t="s">
        <v>14</v>
      </c>
      <c r="K111" s="249">
        <f>K113+K115</f>
        <v>0</v>
      </c>
      <c r="P111" s="395">
        <f t="shared" si="3"/>
        <v>0</v>
      </c>
      <c r="U111" s="395">
        <f t="shared" si="4"/>
        <v>0</v>
      </c>
    </row>
    <row r="112" spans="1:21" ht="12.75" hidden="1">
      <c r="A112" s="236" t="s">
        <v>17</v>
      </c>
      <c r="B112" s="105" t="s">
        <v>100</v>
      </c>
      <c r="C112" s="44" t="s">
        <v>14</v>
      </c>
      <c r="D112" s="44" t="s">
        <v>99</v>
      </c>
      <c r="E112" s="44" t="s">
        <v>23</v>
      </c>
      <c r="F112" s="44" t="s">
        <v>15</v>
      </c>
      <c r="G112" s="44" t="s">
        <v>14</v>
      </c>
      <c r="H112" s="44" t="s">
        <v>15</v>
      </c>
      <c r="I112" s="44" t="s">
        <v>16</v>
      </c>
      <c r="J112" s="44" t="s">
        <v>101</v>
      </c>
      <c r="K112" s="252">
        <f>K113</f>
        <v>0</v>
      </c>
      <c r="P112" s="395">
        <f t="shared" si="3"/>
        <v>0</v>
      </c>
      <c r="U112" s="395">
        <f t="shared" si="4"/>
        <v>0</v>
      </c>
    </row>
    <row r="113" spans="1:21" ht="24" hidden="1">
      <c r="A113" s="41" t="s">
        <v>102</v>
      </c>
      <c r="B113" s="137" t="s">
        <v>261</v>
      </c>
      <c r="C113" s="46" t="s">
        <v>270</v>
      </c>
      <c r="D113" s="46" t="s">
        <v>99</v>
      </c>
      <c r="E113" s="46" t="s">
        <v>23</v>
      </c>
      <c r="F113" s="46" t="s">
        <v>20</v>
      </c>
      <c r="G113" s="46" t="s">
        <v>159</v>
      </c>
      <c r="H113" s="46" t="s">
        <v>38</v>
      </c>
      <c r="I113" s="46" t="s">
        <v>16</v>
      </c>
      <c r="J113" s="46" t="s">
        <v>101</v>
      </c>
      <c r="K113" s="251"/>
      <c r="P113" s="395">
        <f t="shared" si="3"/>
        <v>0</v>
      </c>
      <c r="U113" s="395">
        <f t="shared" si="4"/>
        <v>0</v>
      </c>
    </row>
    <row r="114" spans="1:21" ht="24" hidden="1">
      <c r="A114" s="236" t="s">
        <v>36</v>
      </c>
      <c r="B114" s="331" t="s">
        <v>103</v>
      </c>
      <c r="C114" s="69" t="s">
        <v>14</v>
      </c>
      <c r="D114" s="69" t="s">
        <v>99</v>
      </c>
      <c r="E114" s="69" t="s">
        <v>42</v>
      </c>
      <c r="F114" s="69" t="s">
        <v>15</v>
      </c>
      <c r="G114" s="69" t="s">
        <v>14</v>
      </c>
      <c r="H114" s="69" t="s">
        <v>15</v>
      </c>
      <c r="I114" s="69" t="s">
        <v>16</v>
      </c>
      <c r="J114" s="69" t="s">
        <v>86</v>
      </c>
      <c r="K114" s="252">
        <f>K115</f>
        <v>0</v>
      </c>
      <c r="P114" s="395">
        <f t="shared" si="3"/>
        <v>0</v>
      </c>
      <c r="U114" s="395">
        <f t="shared" si="4"/>
        <v>0</v>
      </c>
    </row>
    <row r="115" spans="1:21" ht="24" hidden="1">
      <c r="A115" s="325" t="s">
        <v>39</v>
      </c>
      <c r="B115" s="332" t="s">
        <v>262</v>
      </c>
      <c r="C115" s="373" t="s">
        <v>270</v>
      </c>
      <c r="D115" s="373" t="s">
        <v>99</v>
      </c>
      <c r="E115" s="373" t="s">
        <v>42</v>
      </c>
      <c r="F115" s="373" t="s">
        <v>23</v>
      </c>
      <c r="G115" s="373" t="s">
        <v>159</v>
      </c>
      <c r="H115" s="373" t="s">
        <v>38</v>
      </c>
      <c r="I115" s="373" t="s">
        <v>16</v>
      </c>
      <c r="J115" s="373" t="s">
        <v>86</v>
      </c>
      <c r="K115" s="251"/>
      <c r="P115" s="395">
        <f t="shared" si="3"/>
        <v>0</v>
      </c>
      <c r="U115" s="395">
        <f t="shared" si="4"/>
        <v>0</v>
      </c>
    </row>
    <row r="116" spans="1:21" ht="12.75">
      <c r="A116" s="333"/>
      <c r="B116" s="330" t="s">
        <v>104</v>
      </c>
      <c r="C116" s="44"/>
      <c r="D116" s="44"/>
      <c r="E116" s="44"/>
      <c r="F116" s="44"/>
      <c r="G116" s="44"/>
      <c r="H116" s="44"/>
      <c r="I116" s="44"/>
      <c r="J116" s="44"/>
      <c r="K116" s="249">
        <f>K22+K64+K111</f>
        <v>378861</v>
      </c>
      <c r="P116" s="395">
        <f t="shared" si="3"/>
        <v>0</v>
      </c>
      <c r="U116" s="395">
        <f t="shared" si="4"/>
        <v>0</v>
      </c>
    </row>
  </sheetData>
  <mergeCells count="6">
    <mergeCell ref="C20:J20"/>
    <mergeCell ref="G3:K3"/>
    <mergeCell ref="G4:K6"/>
    <mergeCell ref="A11:K11"/>
    <mergeCell ref="C15:J19"/>
    <mergeCell ref="B12:K12"/>
  </mergeCells>
  <printOptions/>
  <pageMargins left="0.75" right="0.75" top="1" bottom="1" header="0.5" footer="0.5"/>
  <pageSetup horizontalDpi="600" verticalDpi="600" orientation="landscape" paperSize="9" scale="98" r:id="rId1"/>
  <rowBreaks count="1" manualBreakCount="1">
    <brk id="78" max="3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114"/>
  <sheetViews>
    <sheetView workbookViewId="0" topLeftCell="A40">
      <pane xSplit="9120" topLeftCell="K1" activePane="topLeft" state="split"/>
      <selection pane="topLeft" activeCell="B62" sqref="B62"/>
      <selection pane="topRight" activeCell="P25" sqref="P25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  <col min="31" max="31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128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9"/>
      <c r="AC16" s="179"/>
      <c r="AD16" s="179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79"/>
      <c r="AC20" s="179"/>
      <c r="AD20" s="179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79"/>
      <c r="AC21" s="179"/>
      <c r="AD21" s="179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1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K24+K31+K35+K39+K42+K48+K56+K65+K66+K62</f>
        <v>40691</v>
      </c>
      <c r="L23" s="102">
        <f>L24+L31+L35+L39+L42+L48+L56+L65+L66+L62</f>
        <v>22032</v>
      </c>
      <c r="M23" s="102">
        <f>M24+M31+M35+M39+M42+M48+M56+M65+M66+M62</f>
        <v>18794</v>
      </c>
      <c r="N23" s="102">
        <f>N24+N31+N35+N39+N42+N48+N56+N65+N66+N62</f>
        <v>19249</v>
      </c>
      <c r="O23" s="215">
        <f>O24+O31+O35+O39+O42+O48+O56+O65+O66+O62</f>
        <v>7362</v>
      </c>
      <c r="P23" s="102">
        <f aca="true" t="shared" si="0" ref="P23:AD23">P24+P31+P35+P39+P42+P48+P56+P65+P66+P62</f>
        <v>2316</v>
      </c>
      <c r="Q23" s="102">
        <f t="shared" si="0"/>
        <v>2548</v>
      </c>
      <c r="R23" s="102">
        <f t="shared" si="0"/>
        <v>2498</v>
      </c>
      <c r="S23" s="215">
        <f t="shared" si="0"/>
        <v>7699</v>
      </c>
      <c r="T23" s="102">
        <f t="shared" si="0"/>
        <v>3162</v>
      </c>
      <c r="U23" s="102">
        <f t="shared" si="0"/>
        <v>2252</v>
      </c>
      <c r="V23" s="102">
        <f t="shared" si="0"/>
        <v>2285</v>
      </c>
      <c r="W23" s="215">
        <f t="shared" si="0"/>
        <v>11327</v>
      </c>
      <c r="X23" s="102">
        <f t="shared" si="0"/>
        <v>4381</v>
      </c>
      <c r="Y23" s="102">
        <f t="shared" si="0"/>
        <v>3415</v>
      </c>
      <c r="Z23" s="102">
        <f t="shared" si="0"/>
        <v>3321</v>
      </c>
      <c r="AA23" s="215">
        <f t="shared" si="0"/>
        <v>14303</v>
      </c>
      <c r="AB23" s="102">
        <f t="shared" si="0"/>
        <v>4377</v>
      </c>
      <c r="AC23" s="102">
        <f t="shared" si="0"/>
        <v>4837</v>
      </c>
      <c r="AD23" s="102">
        <f t="shared" si="0"/>
        <v>4780</v>
      </c>
      <c r="AE23" s="209">
        <f>SUM(O23:AA23)</f>
        <v>66869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305">
        <f>K25</f>
        <v>28191</v>
      </c>
      <c r="L24" s="45">
        <f>L25</f>
        <v>18794</v>
      </c>
      <c r="M24" s="45">
        <f>M25</f>
        <v>18794</v>
      </c>
      <c r="N24" s="45">
        <f>N25</f>
        <v>18794</v>
      </c>
      <c r="O24" s="216">
        <f>O25</f>
        <v>4698</v>
      </c>
      <c r="P24" s="45">
        <f aca="true" t="shared" si="1" ref="P24:AD24">P25</f>
        <v>939</v>
      </c>
      <c r="Q24" s="45">
        <f t="shared" si="1"/>
        <v>1879</v>
      </c>
      <c r="R24" s="45">
        <f t="shared" si="1"/>
        <v>1880</v>
      </c>
      <c r="S24" s="216">
        <f t="shared" si="1"/>
        <v>4699</v>
      </c>
      <c r="T24" s="45">
        <f t="shared" si="1"/>
        <v>1565</v>
      </c>
      <c r="U24" s="45">
        <f t="shared" si="1"/>
        <v>1565</v>
      </c>
      <c r="V24" s="45">
        <f t="shared" si="1"/>
        <v>1569</v>
      </c>
      <c r="W24" s="216">
        <f t="shared" si="1"/>
        <v>8103</v>
      </c>
      <c r="X24" s="45">
        <f t="shared" si="1"/>
        <v>2699</v>
      </c>
      <c r="Y24" s="45">
        <f t="shared" si="1"/>
        <v>2700</v>
      </c>
      <c r="Z24" s="45">
        <f t="shared" si="1"/>
        <v>2704</v>
      </c>
      <c r="AA24" s="216">
        <f t="shared" si="1"/>
        <v>10691</v>
      </c>
      <c r="AB24" s="45">
        <f t="shared" si="1"/>
        <v>2699</v>
      </c>
      <c r="AC24" s="45">
        <f t="shared" si="1"/>
        <v>3989</v>
      </c>
      <c r="AD24" s="45">
        <f t="shared" si="1"/>
        <v>4034</v>
      </c>
      <c r="AE24" s="209">
        <f aca="true" t="shared" si="2" ref="AE24:AE96">SUM(O24:AA24)</f>
        <v>45691</v>
      </c>
    </row>
    <row r="25" spans="1:31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28191</v>
      </c>
      <c r="L25" s="45">
        <f>L26+L27+L30</f>
        <v>18794</v>
      </c>
      <c r="M25" s="45">
        <f>M26+M27+M30</f>
        <v>18794</v>
      </c>
      <c r="N25" s="45">
        <f>N26+N27+N30</f>
        <v>18794</v>
      </c>
      <c r="O25" s="216">
        <f>O26+O27+O30</f>
        <v>4698</v>
      </c>
      <c r="P25" s="45">
        <f aca="true" t="shared" si="3" ref="P25:AD25">P26+P27+P30</f>
        <v>939</v>
      </c>
      <c r="Q25" s="45">
        <f t="shared" si="3"/>
        <v>1879</v>
      </c>
      <c r="R25" s="45">
        <f t="shared" si="3"/>
        <v>1880</v>
      </c>
      <c r="S25" s="216">
        <f t="shared" si="3"/>
        <v>4699</v>
      </c>
      <c r="T25" s="45">
        <f t="shared" si="3"/>
        <v>1565</v>
      </c>
      <c r="U25" s="45">
        <f t="shared" si="3"/>
        <v>1565</v>
      </c>
      <c r="V25" s="45">
        <f t="shared" si="3"/>
        <v>1569</v>
      </c>
      <c r="W25" s="216">
        <f t="shared" si="3"/>
        <v>8103</v>
      </c>
      <c r="X25" s="45">
        <f t="shared" si="3"/>
        <v>2699</v>
      </c>
      <c r="Y25" s="45">
        <f t="shared" si="3"/>
        <v>2700</v>
      </c>
      <c r="Z25" s="45">
        <f t="shared" si="3"/>
        <v>2704</v>
      </c>
      <c r="AA25" s="216">
        <f t="shared" si="3"/>
        <v>10691</v>
      </c>
      <c r="AB25" s="45">
        <f t="shared" si="3"/>
        <v>2699</v>
      </c>
      <c r="AC25" s="45">
        <f t="shared" si="3"/>
        <v>3989</v>
      </c>
      <c r="AD25" s="45">
        <f t="shared" si="3"/>
        <v>4034</v>
      </c>
      <c r="AE25" s="209">
        <f t="shared" si="2"/>
        <v>45691</v>
      </c>
    </row>
    <row r="26" spans="1:31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37"/>
      <c r="AB26" s="184"/>
      <c r="AC26" s="184"/>
      <c r="AD26" s="184"/>
      <c r="AE26" s="248">
        <f t="shared" si="2"/>
        <v>0</v>
      </c>
    </row>
    <row r="27" spans="1:31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28191</v>
      </c>
      <c r="L27" s="47">
        <f aca="true" t="shared" si="4" ref="L27:AD27">L28+L29</f>
        <v>18794</v>
      </c>
      <c r="M27" s="47">
        <f t="shared" si="4"/>
        <v>18794</v>
      </c>
      <c r="N27" s="47">
        <f t="shared" si="4"/>
        <v>18794</v>
      </c>
      <c r="O27" s="217">
        <f t="shared" si="4"/>
        <v>4698</v>
      </c>
      <c r="P27" s="47">
        <f t="shared" si="4"/>
        <v>939</v>
      </c>
      <c r="Q27" s="47">
        <f t="shared" si="4"/>
        <v>1879</v>
      </c>
      <c r="R27" s="47">
        <f t="shared" si="4"/>
        <v>1880</v>
      </c>
      <c r="S27" s="217">
        <f t="shared" si="4"/>
        <v>4699</v>
      </c>
      <c r="T27" s="47">
        <f t="shared" si="4"/>
        <v>1565</v>
      </c>
      <c r="U27" s="47">
        <f t="shared" si="4"/>
        <v>1565</v>
      </c>
      <c r="V27" s="47">
        <f t="shared" si="4"/>
        <v>1569</v>
      </c>
      <c r="W27" s="217">
        <f t="shared" si="4"/>
        <v>8103</v>
      </c>
      <c r="X27" s="47">
        <f t="shared" si="4"/>
        <v>2699</v>
      </c>
      <c r="Y27" s="47">
        <f t="shared" si="4"/>
        <v>2700</v>
      </c>
      <c r="Z27" s="47">
        <f t="shared" si="4"/>
        <v>2704</v>
      </c>
      <c r="AA27" s="238">
        <f t="shared" si="4"/>
        <v>10691</v>
      </c>
      <c r="AB27" s="64">
        <f t="shared" si="4"/>
        <v>2699</v>
      </c>
      <c r="AC27" s="64">
        <f t="shared" si="4"/>
        <v>3989</v>
      </c>
      <c r="AD27" s="64">
        <f t="shared" si="4"/>
        <v>4034</v>
      </c>
      <c r="AE27" s="248">
        <f t="shared" si="2"/>
        <v>45691</v>
      </c>
    </row>
    <row r="28" spans="1:31" ht="63.7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26966-8252+6300+100-93+509+2581</f>
        <v>28111</v>
      </c>
      <c r="L28" s="47">
        <f>26966-8252</f>
        <v>18714</v>
      </c>
      <c r="M28" s="47">
        <f>26966-8252</f>
        <v>18714</v>
      </c>
      <c r="N28" s="47">
        <f>26966-8252</f>
        <v>18714</v>
      </c>
      <c r="O28" s="217">
        <v>4678</v>
      </c>
      <c r="P28" s="47">
        <v>935</v>
      </c>
      <c r="Q28" s="47">
        <v>1871</v>
      </c>
      <c r="R28" s="47">
        <v>1872</v>
      </c>
      <c r="S28" s="217">
        <v>4679</v>
      </c>
      <c r="T28" s="47">
        <v>1559</v>
      </c>
      <c r="U28" s="47">
        <v>1559</v>
      </c>
      <c r="V28" s="47">
        <v>1561</v>
      </c>
      <c r="W28" s="217">
        <f>4679+3150+254</f>
        <v>8083</v>
      </c>
      <c r="X28" s="47">
        <f>1559+1050+84</f>
        <v>2693</v>
      </c>
      <c r="Y28" s="47">
        <f>1559+1050+84+1</f>
        <v>2694</v>
      </c>
      <c r="Z28" s="47">
        <f>1561+1050+84+1</f>
        <v>2696</v>
      </c>
      <c r="AA28" s="238">
        <f>4678+3150+100-93+255+2581</f>
        <v>10671</v>
      </c>
      <c r="AB28" s="64">
        <f>1559+1050+30-31+85</f>
        <v>2693</v>
      </c>
      <c r="AC28" s="64">
        <f>1559+1050+30-31+85+1290</f>
        <v>3983</v>
      </c>
      <c r="AD28" s="64">
        <f>1560+1050+40+85+1291</f>
        <v>4026</v>
      </c>
      <c r="AE28" s="248">
        <f>SUM(O28:AD28)</f>
        <v>56253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80</v>
      </c>
      <c r="L29" s="47">
        <v>80</v>
      </c>
      <c r="M29" s="47">
        <v>80</v>
      </c>
      <c r="N29" s="190">
        <v>80</v>
      </c>
      <c r="O29" s="218">
        <v>20</v>
      </c>
      <c r="P29" s="64">
        <v>4</v>
      </c>
      <c r="Q29" s="64">
        <v>8</v>
      </c>
      <c r="R29" s="64">
        <v>8</v>
      </c>
      <c r="S29" s="218">
        <v>20</v>
      </c>
      <c r="T29" s="64">
        <v>6</v>
      </c>
      <c r="U29" s="64">
        <v>6</v>
      </c>
      <c r="V29" s="64">
        <v>8</v>
      </c>
      <c r="W29" s="218">
        <v>20</v>
      </c>
      <c r="X29" s="64">
        <v>6</v>
      </c>
      <c r="Y29" s="64">
        <v>6</v>
      </c>
      <c r="Z29" s="64">
        <v>8</v>
      </c>
      <c r="AA29" s="238">
        <v>20</v>
      </c>
      <c r="AB29" s="64">
        <v>6</v>
      </c>
      <c r="AC29" s="64">
        <v>6</v>
      </c>
      <c r="AD29" s="64">
        <v>8</v>
      </c>
      <c r="AE29" s="248">
        <f t="shared" si="2"/>
        <v>140</v>
      </c>
    </row>
    <row r="30" spans="1:31" ht="36.75" customHeight="1" hidden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37"/>
      <c r="AB30" s="184"/>
      <c r="AC30" s="184"/>
      <c r="AD30" s="184"/>
      <c r="AE30" s="248">
        <f t="shared" si="2"/>
        <v>0</v>
      </c>
    </row>
    <row r="31" spans="1:31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306">
        <f>K32+K33+K34</f>
        <v>7000</v>
      </c>
      <c r="L31" s="306">
        <f aca="true" t="shared" si="5" ref="L31:AD31">L32+L33+L34</f>
        <v>2029</v>
      </c>
      <c r="M31" s="306">
        <f t="shared" si="5"/>
        <v>0</v>
      </c>
      <c r="N31" s="306">
        <f t="shared" si="5"/>
        <v>400</v>
      </c>
      <c r="O31" s="306">
        <f t="shared" si="5"/>
        <v>1700</v>
      </c>
      <c r="P31" s="306">
        <f t="shared" si="5"/>
        <v>1190</v>
      </c>
      <c r="Q31" s="306">
        <f t="shared" si="5"/>
        <v>340</v>
      </c>
      <c r="R31" s="306">
        <f t="shared" si="5"/>
        <v>170</v>
      </c>
      <c r="S31" s="306">
        <f t="shared" si="5"/>
        <v>1700</v>
      </c>
      <c r="T31" s="306">
        <f t="shared" si="5"/>
        <v>1190</v>
      </c>
      <c r="U31" s="306">
        <f t="shared" si="5"/>
        <v>340</v>
      </c>
      <c r="V31" s="306">
        <f t="shared" si="5"/>
        <v>170</v>
      </c>
      <c r="W31" s="306">
        <f t="shared" si="5"/>
        <v>1830</v>
      </c>
      <c r="X31" s="306">
        <f t="shared" si="5"/>
        <v>1320</v>
      </c>
      <c r="Y31" s="306">
        <f t="shared" si="5"/>
        <v>340</v>
      </c>
      <c r="Z31" s="306">
        <f t="shared" si="5"/>
        <v>170</v>
      </c>
      <c r="AA31" s="306">
        <f t="shared" si="5"/>
        <v>1770</v>
      </c>
      <c r="AB31" s="306">
        <f t="shared" si="5"/>
        <v>1213</v>
      </c>
      <c r="AC31" s="306">
        <f t="shared" si="5"/>
        <v>363</v>
      </c>
      <c r="AD31" s="306">
        <f t="shared" si="5"/>
        <v>194</v>
      </c>
      <c r="AE31" s="248">
        <f t="shared" si="2"/>
        <v>12230</v>
      </c>
    </row>
    <row r="32" spans="1:31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6800</v>
      </c>
      <c r="N32" s="104">
        <v>400</v>
      </c>
      <c r="O32" s="214">
        <f>6800/4</f>
        <v>1700</v>
      </c>
      <c r="P32" s="184">
        <v>1190</v>
      </c>
      <c r="Q32" s="184">
        <v>340</v>
      </c>
      <c r="R32" s="184">
        <v>170</v>
      </c>
      <c r="S32" s="214">
        <v>1700</v>
      </c>
      <c r="T32" s="184">
        <v>1190</v>
      </c>
      <c r="U32" s="184">
        <v>340</v>
      </c>
      <c r="V32" s="184">
        <v>170</v>
      </c>
      <c r="W32" s="214">
        <v>1700</v>
      </c>
      <c r="X32" s="184">
        <v>1190</v>
      </c>
      <c r="Y32" s="184">
        <v>340</v>
      </c>
      <c r="Z32" s="184">
        <v>170</v>
      </c>
      <c r="AA32" s="237">
        <v>1700</v>
      </c>
      <c r="AB32" s="184">
        <v>1190</v>
      </c>
      <c r="AC32" s="184">
        <v>340</v>
      </c>
      <c r="AD32" s="184">
        <v>170</v>
      </c>
      <c r="AE32" s="248">
        <f t="shared" si="2"/>
        <v>11900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L33" s="111">
        <v>2029</v>
      </c>
      <c r="N33" s="104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37"/>
      <c r="AB33" s="184"/>
      <c r="AC33" s="184"/>
      <c r="AD33" s="184"/>
      <c r="AE33" s="248">
        <f t="shared" si="2"/>
        <v>0</v>
      </c>
    </row>
    <row r="34" spans="1:31" ht="13.5" thickBot="1">
      <c r="A34" s="85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8" t="s">
        <v>24</v>
      </c>
      <c r="K34" s="66">
        <v>200</v>
      </c>
      <c r="L34" s="111"/>
      <c r="N34" s="104"/>
      <c r="O34" s="232"/>
      <c r="P34" s="181"/>
      <c r="Q34" s="181"/>
      <c r="R34" s="181"/>
      <c r="S34" s="232"/>
      <c r="T34" s="181"/>
      <c r="U34" s="181"/>
      <c r="V34" s="181"/>
      <c r="W34" s="232">
        <v>130</v>
      </c>
      <c r="X34" s="181">
        <v>130</v>
      </c>
      <c r="Y34" s="181"/>
      <c r="Z34" s="181"/>
      <c r="AA34" s="232">
        <v>70</v>
      </c>
      <c r="AB34" s="184">
        <v>23</v>
      </c>
      <c r="AC34" s="184">
        <v>23</v>
      </c>
      <c r="AD34" s="184">
        <v>24</v>
      </c>
      <c r="AE34" s="248"/>
    </row>
    <row r="35" spans="1:31" ht="12.75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42" t="s">
        <v>14</v>
      </c>
      <c r="K35" s="43">
        <f>K36+K37+K38</f>
        <v>0</v>
      </c>
      <c r="L35" s="43">
        <f>L36+L37+L38</f>
        <v>0</v>
      </c>
      <c r="M35" s="43">
        <f>M36+M37+M38</f>
        <v>0</v>
      </c>
      <c r="N35" s="43">
        <f>N36+N37+N38</f>
        <v>0</v>
      </c>
      <c r="O35" s="219">
        <f>O36+O37+O38</f>
        <v>0</v>
      </c>
      <c r="P35" s="43">
        <f aca="true" t="shared" si="6" ref="P35:AD35">P36+P37+P38</f>
        <v>0</v>
      </c>
      <c r="Q35" s="43">
        <f t="shared" si="6"/>
        <v>0</v>
      </c>
      <c r="R35" s="43">
        <f t="shared" si="6"/>
        <v>0</v>
      </c>
      <c r="S35" s="219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219">
        <f t="shared" si="6"/>
        <v>0</v>
      </c>
      <c r="X35" s="43">
        <f t="shared" si="6"/>
        <v>0</v>
      </c>
      <c r="Y35" s="43">
        <f t="shared" si="6"/>
        <v>0</v>
      </c>
      <c r="Z35" s="43">
        <f t="shared" si="6"/>
        <v>0</v>
      </c>
      <c r="AA35" s="239">
        <f t="shared" si="6"/>
        <v>0</v>
      </c>
      <c r="AB35" s="249">
        <f t="shared" si="6"/>
        <v>0</v>
      </c>
      <c r="AC35" s="249">
        <f t="shared" si="6"/>
        <v>0</v>
      </c>
      <c r="AD35" s="249">
        <f t="shared" si="6"/>
        <v>0</v>
      </c>
      <c r="AE35" s="248">
        <f t="shared" si="2"/>
        <v>0</v>
      </c>
    </row>
    <row r="36" spans="1:31" ht="12.75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37"/>
      <c r="AB36" s="184"/>
      <c r="AC36" s="184"/>
      <c r="AD36" s="184"/>
      <c r="AE36" s="248">
        <f t="shared" si="2"/>
        <v>0</v>
      </c>
    </row>
    <row r="37" spans="1:31" ht="12.75">
      <c r="A37" s="22"/>
      <c r="B37" s="77" t="s">
        <v>170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46" t="s">
        <v>24</v>
      </c>
      <c r="K37" s="47">
        <v>0</v>
      </c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37"/>
      <c r="AB37" s="184"/>
      <c r="AC37" s="184"/>
      <c r="AD37" s="184"/>
      <c r="AE37" s="248">
        <f t="shared" si="2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46" t="s">
        <v>24</v>
      </c>
      <c r="K38" s="47"/>
      <c r="O38" s="214"/>
      <c r="P38" s="184"/>
      <c r="Q38" s="184"/>
      <c r="R38" s="184"/>
      <c r="S38" s="214"/>
      <c r="T38" s="184"/>
      <c r="U38" s="184"/>
      <c r="V38" s="184"/>
      <c r="W38" s="214"/>
      <c r="X38" s="184"/>
      <c r="Y38" s="184"/>
      <c r="Z38" s="184"/>
      <c r="AA38" s="237"/>
      <c r="AB38" s="184"/>
      <c r="AC38" s="184"/>
      <c r="AD38" s="184"/>
      <c r="AE38" s="248">
        <f t="shared" si="2"/>
        <v>0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50" t="s">
        <v>14</v>
      </c>
      <c r="K39" s="100">
        <f>K40+K41</f>
        <v>2250</v>
      </c>
      <c r="L39" s="100">
        <f>L40+L41</f>
        <v>0</v>
      </c>
      <c r="M39" s="100">
        <f>M40+M41</f>
        <v>0</v>
      </c>
      <c r="N39" s="100">
        <f>N40+N41</f>
        <v>55</v>
      </c>
      <c r="O39" s="220">
        <f>O40+O41</f>
        <v>562</v>
      </c>
      <c r="P39" s="100">
        <f aca="true" t="shared" si="7" ref="P39:AD39">P40+P41</f>
        <v>187</v>
      </c>
      <c r="Q39" s="100">
        <f t="shared" si="7"/>
        <v>187</v>
      </c>
      <c r="R39" s="100">
        <f t="shared" si="7"/>
        <v>188</v>
      </c>
      <c r="S39" s="220">
        <f t="shared" si="7"/>
        <v>562</v>
      </c>
      <c r="T39" s="100">
        <f t="shared" si="7"/>
        <v>187</v>
      </c>
      <c r="U39" s="100">
        <f t="shared" si="7"/>
        <v>187</v>
      </c>
      <c r="V39" s="100">
        <f t="shared" si="7"/>
        <v>188</v>
      </c>
      <c r="W39" s="220">
        <f t="shared" si="7"/>
        <v>562</v>
      </c>
      <c r="X39" s="100">
        <f t="shared" si="7"/>
        <v>187</v>
      </c>
      <c r="Y39" s="100">
        <f t="shared" si="7"/>
        <v>187</v>
      </c>
      <c r="Z39" s="100">
        <f t="shared" si="7"/>
        <v>188</v>
      </c>
      <c r="AA39" s="240">
        <f t="shared" si="7"/>
        <v>564</v>
      </c>
      <c r="AB39" s="233">
        <f t="shared" si="7"/>
        <v>188</v>
      </c>
      <c r="AC39" s="233">
        <f t="shared" si="7"/>
        <v>188</v>
      </c>
      <c r="AD39" s="233">
        <f t="shared" si="7"/>
        <v>188</v>
      </c>
      <c r="AE39" s="248">
        <f t="shared" si="2"/>
        <v>3936</v>
      </c>
    </row>
    <row r="40" spans="1:31" ht="12.75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52" t="s">
        <v>24</v>
      </c>
      <c r="K40" s="53">
        <v>2250</v>
      </c>
      <c r="N40" s="104">
        <v>55</v>
      </c>
      <c r="O40" s="214">
        <v>562</v>
      </c>
      <c r="P40" s="184">
        <v>187</v>
      </c>
      <c r="Q40" s="184">
        <v>187</v>
      </c>
      <c r="R40" s="184">
        <v>188</v>
      </c>
      <c r="S40" s="214">
        <v>562</v>
      </c>
      <c r="T40" s="184">
        <v>187</v>
      </c>
      <c r="U40" s="184">
        <v>187</v>
      </c>
      <c r="V40" s="184">
        <v>188</v>
      </c>
      <c r="W40" s="214">
        <v>562</v>
      </c>
      <c r="X40" s="184">
        <v>187</v>
      </c>
      <c r="Y40" s="184">
        <v>187</v>
      </c>
      <c r="Z40" s="184">
        <v>188</v>
      </c>
      <c r="AA40" s="237">
        <v>564</v>
      </c>
      <c r="AB40" s="184">
        <v>188</v>
      </c>
      <c r="AC40" s="184">
        <v>188</v>
      </c>
      <c r="AD40" s="184">
        <v>188</v>
      </c>
      <c r="AE40" s="248">
        <f t="shared" si="2"/>
        <v>3936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54" t="s">
        <v>24</v>
      </c>
      <c r="K41" s="55"/>
      <c r="O41" s="214"/>
      <c r="P41" s="184"/>
      <c r="Q41" s="184"/>
      <c r="R41" s="184"/>
      <c r="S41" s="214"/>
      <c r="T41" s="184"/>
      <c r="U41" s="184"/>
      <c r="V41" s="184"/>
      <c r="W41" s="214"/>
      <c r="X41" s="184"/>
      <c r="Y41" s="184"/>
      <c r="Z41" s="184"/>
      <c r="AA41" s="237"/>
      <c r="AB41" s="184"/>
      <c r="AC41" s="184"/>
      <c r="AD41" s="184"/>
      <c r="AE41" s="248">
        <f t="shared" si="2"/>
        <v>0</v>
      </c>
    </row>
    <row r="42" spans="1:31" ht="12.75">
      <c r="A42" s="42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57" t="s">
        <v>14</v>
      </c>
      <c r="K42" s="58">
        <f>K44+K46+K47+K45</f>
        <v>0</v>
      </c>
      <c r="L42" s="58">
        <f>L44+L46+L47+L45</f>
        <v>5</v>
      </c>
      <c r="M42" s="58">
        <f>M44+M46+M47+M45</f>
        <v>0</v>
      </c>
      <c r="N42" s="58">
        <f>N44+N46+N47+N45</f>
        <v>0</v>
      </c>
      <c r="O42" s="221">
        <f>O44+O46+O47+O45</f>
        <v>0</v>
      </c>
      <c r="P42" s="58"/>
      <c r="Q42" s="58"/>
      <c r="R42" s="58"/>
      <c r="S42" s="221">
        <f>S44+S46+S47+S45</f>
        <v>0</v>
      </c>
      <c r="T42" s="58"/>
      <c r="U42" s="58"/>
      <c r="V42" s="58"/>
      <c r="W42" s="221">
        <f>W44+W46+W47+W45</f>
        <v>0</v>
      </c>
      <c r="X42" s="58"/>
      <c r="Y42" s="58"/>
      <c r="Z42" s="58"/>
      <c r="AA42" s="241">
        <f>AA44+AA46+AA47+AA45</f>
        <v>0</v>
      </c>
      <c r="AB42" s="64"/>
      <c r="AC42" s="64"/>
      <c r="AD42" s="64"/>
      <c r="AE42" s="248">
        <f t="shared" si="2"/>
        <v>0</v>
      </c>
    </row>
    <row r="43" spans="1:31" ht="13.5" thickBot="1">
      <c r="A43" s="429"/>
      <c r="B43" s="83" t="s">
        <v>59</v>
      </c>
      <c r="C43" s="59"/>
      <c r="D43" s="59"/>
      <c r="E43" s="59"/>
      <c r="F43" s="60"/>
      <c r="G43" s="60"/>
      <c r="H43" s="60"/>
      <c r="I43" s="60"/>
      <c r="J43" s="60"/>
      <c r="K43" s="61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37"/>
      <c r="AB43" s="184"/>
      <c r="AC43" s="184"/>
      <c r="AD43" s="184"/>
      <c r="AE43" s="248">
        <f t="shared" si="2"/>
        <v>0</v>
      </c>
    </row>
    <row r="44" spans="1:31" ht="12.75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62" t="s">
        <v>24</v>
      </c>
      <c r="K44" s="63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37"/>
      <c r="AB44" s="184"/>
      <c r="AC44" s="184"/>
      <c r="AD44" s="184"/>
      <c r="AE44" s="248">
        <f t="shared" si="2"/>
        <v>0</v>
      </c>
    </row>
    <row r="45" spans="1:31" ht="12.75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62" t="s">
        <v>24</v>
      </c>
      <c r="K45" s="96">
        <v>0</v>
      </c>
      <c r="L45">
        <v>5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37"/>
      <c r="AB45" s="184"/>
      <c r="AC45" s="184"/>
      <c r="AD45" s="184"/>
      <c r="AE45" s="248">
        <f t="shared" si="2"/>
        <v>0</v>
      </c>
    </row>
    <row r="46" spans="1:31" ht="12.75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46" t="s">
        <v>24</v>
      </c>
      <c r="K46" s="64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37"/>
      <c r="AB46" s="184"/>
      <c r="AC46" s="184"/>
      <c r="AD46" s="184"/>
      <c r="AE46" s="248">
        <f t="shared" si="2"/>
        <v>0</v>
      </c>
    </row>
    <row r="47" spans="1:31" ht="13.5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65" t="s">
        <v>24</v>
      </c>
      <c r="K47" s="66">
        <v>0</v>
      </c>
      <c r="O47" s="214"/>
      <c r="P47" s="184"/>
      <c r="Q47" s="184"/>
      <c r="R47" s="184"/>
      <c r="S47" s="214"/>
      <c r="T47" s="184"/>
      <c r="U47" s="184"/>
      <c r="V47" s="184"/>
      <c r="W47" s="214"/>
      <c r="X47" s="184"/>
      <c r="Y47" s="184"/>
      <c r="Z47" s="184"/>
      <c r="AA47" s="237"/>
      <c r="AB47" s="184"/>
      <c r="AC47" s="184"/>
      <c r="AD47" s="184"/>
      <c r="AE47" s="248">
        <f t="shared" si="2"/>
        <v>0</v>
      </c>
    </row>
    <row r="48" spans="1:31" ht="25.5">
      <c r="A48" s="15" t="s">
        <v>62</v>
      </c>
      <c r="B48" s="141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56" t="s">
        <v>14</v>
      </c>
      <c r="K48" s="43">
        <f>K51+K55</f>
        <v>0</v>
      </c>
      <c r="L48" s="43">
        <f>L51+L55</f>
        <v>0</v>
      </c>
      <c r="M48" s="43">
        <f>M51+M55</f>
        <v>0</v>
      </c>
      <c r="N48" s="43">
        <f>N51+N55</f>
        <v>0</v>
      </c>
      <c r="O48" s="219">
        <f>O51+O55</f>
        <v>0</v>
      </c>
      <c r="P48" s="43"/>
      <c r="Q48" s="43"/>
      <c r="R48" s="43"/>
      <c r="S48" s="219">
        <f>S51+S55</f>
        <v>0</v>
      </c>
      <c r="T48" s="43"/>
      <c r="U48" s="43"/>
      <c r="V48" s="43"/>
      <c r="W48" s="219">
        <f>W51+W55</f>
        <v>0</v>
      </c>
      <c r="X48" s="43"/>
      <c r="Y48" s="43"/>
      <c r="Z48" s="43"/>
      <c r="AA48" s="239">
        <f>AA51+AA55</f>
        <v>0</v>
      </c>
      <c r="AB48" s="249"/>
      <c r="AC48" s="249"/>
      <c r="AD48" s="249"/>
      <c r="AE48" s="248">
        <f t="shared" si="2"/>
        <v>0</v>
      </c>
    </row>
    <row r="49" spans="1:31" ht="12.75">
      <c r="A49" s="19"/>
      <c r="B49" s="143"/>
      <c r="C49" s="133"/>
      <c r="D49" s="133"/>
      <c r="E49" s="133"/>
      <c r="F49" s="133"/>
      <c r="G49" s="133"/>
      <c r="H49" s="133"/>
      <c r="I49" s="133"/>
      <c r="J49" s="133"/>
      <c r="K49" s="45"/>
      <c r="O49" s="214"/>
      <c r="P49" s="184"/>
      <c r="Q49" s="184"/>
      <c r="R49" s="184"/>
      <c r="S49" s="214"/>
      <c r="T49" s="184"/>
      <c r="U49" s="184"/>
      <c r="V49" s="184"/>
      <c r="W49" s="214"/>
      <c r="X49" s="184"/>
      <c r="Y49" s="184"/>
      <c r="Z49" s="184"/>
      <c r="AA49" s="237"/>
      <c r="AB49" s="184"/>
      <c r="AC49" s="184"/>
      <c r="AD49" s="184"/>
      <c r="AE49" s="248">
        <f t="shared" si="2"/>
        <v>0</v>
      </c>
    </row>
    <row r="50" spans="1:31" ht="12.75">
      <c r="A50" s="123" t="s">
        <v>64</v>
      </c>
      <c r="B50" s="114" t="s">
        <v>149</v>
      </c>
      <c r="C50" s="115" t="s">
        <v>14</v>
      </c>
      <c r="D50" s="115">
        <v>1</v>
      </c>
      <c r="E50" s="115">
        <v>11</v>
      </c>
      <c r="F50" s="115" t="s">
        <v>38</v>
      </c>
      <c r="G50" s="115" t="s">
        <v>14</v>
      </c>
      <c r="H50" s="115" t="s">
        <v>15</v>
      </c>
      <c r="I50" s="115" t="s">
        <v>16</v>
      </c>
      <c r="J50" s="115" t="s">
        <v>65</v>
      </c>
      <c r="K50" s="121">
        <f>K51</f>
        <v>0</v>
      </c>
      <c r="L50" s="121">
        <f>L51</f>
        <v>0</v>
      </c>
      <c r="M50" s="121">
        <f>M51</f>
        <v>0</v>
      </c>
      <c r="N50" s="121">
        <f>N51</f>
        <v>0</v>
      </c>
      <c r="O50" s="222">
        <f>O51</f>
        <v>0</v>
      </c>
      <c r="P50" s="121"/>
      <c r="Q50" s="121"/>
      <c r="R50" s="121"/>
      <c r="S50" s="222">
        <f>S51</f>
        <v>0</v>
      </c>
      <c r="T50" s="121"/>
      <c r="U50" s="121"/>
      <c r="V50" s="121"/>
      <c r="W50" s="222">
        <f>W51</f>
        <v>0</v>
      </c>
      <c r="X50" s="121"/>
      <c r="Y50" s="121"/>
      <c r="Z50" s="121"/>
      <c r="AA50" s="242">
        <f>AA51</f>
        <v>0</v>
      </c>
      <c r="AB50" s="250"/>
      <c r="AC50" s="250"/>
      <c r="AD50" s="250"/>
      <c r="AE50" s="248">
        <f t="shared" si="2"/>
        <v>0</v>
      </c>
    </row>
    <row r="51" spans="1:31" ht="24">
      <c r="A51" s="110"/>
      <c r="B51" s="112" t="s">
        <v>155</v>
      </c>
      <c r="C51" s="117" t="s">
        <v>66</v>
      </c>
      <c r="D51" s="117" t="s">
        <v>19</v>
      </c>
      <c r="E51" s="117" t="s">
        <v>63</v>
      </c>
      <c r="F51" s="117" t="s">
        <v>38</v>
      </c>
      <c r="G51" s="117" t="s">
        <v>14</v>
      </c>
      <c r="H51" s="117" t="s">
        <v>38</v>
      </c>
      <c r="I51" s="117" t="s">
        <v>16</v>
      </c>
      <c r="J51" s="117" t="s">
        <v>65</v>
      </c>
      <c r="K51" s="144">
        <f>K52+K53+K54</f>
        <v>0</v>
      </c>
      <c r="L51" s="144">
        <f>L52+L53+L54</f>
        <v>0</v>
      </c>
      <c r="M51" s="144">
        <f>M52+M53+M54</f>
        <v>0</v>
      </c>
      <c r="N51" s="144">
        <f>N52+N53+N54</f>
        <v>0</v>
      </c>
      <c r="O51" s="223">
        <f>O52+O53+O54</f>
        <v>0</v>
      </c>
      <c r="P51" s="144"/>
      <c r="Q51" s="144"/>
      <c r="R51" s="144"/>
      <c r="S51" s="223">
        <f>S52+S53+S54</f>
        <v>0</v>
      </c>
      <c r="T51" s="144"/>
      <c r="U51" s="144"/>
      <c r="V51" s="144"/>
      <c r="W51" s="223">
        <f>W52+W53+W54</f>
        <v>0</v>
      </c>
      <c r="X51" s="144"/>
      <c r="Y51" s="144"/>
      <c r="Z51" s="144"/>
      <c r="AA51" s="243">
        <f>AA52+AA53+AA54</f>
        <v>0</v>
      </c>
      <c r="AB51" s="251"/>
      <c r="AC51" s="251"/>
      <c r="AD51" s="251"/>
      <c r="AE51" s="248">
        <f t="shared" si="2"/>
        <v>0</v>
      </c>
    </row>
    <row r="52" spans="1:31" ht="12.75">
      <c r="A52" s="16"/>
      <c r="B52" s="112"/>
      <c r="C52" s="46"/>
      <c r="D52" s="46"/>
      <c r="E52" s="46"/>
      <c r="F52" s="46"/>
      <c r="G52" s="46"/>
      <c r="H52" s="46"/>
      <c r="I52" s="46"/>
      <c r="J52" s="46"/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37"/>
      <c r="AB52" s="184"/>
      <c r="AC52" s="184"/>
      <c r="AD52" s="184"/>
      <c r="AE52" s="248">
        <f t="shared" si="2"/>
        <v>0</v>
      </c>
    </row>
    <row r="53" spans="1:31" ht="12.75">
      <c r="A53" s="16"/>
      <c r="B53" s="112"/>
      <c r="C53" s="46"/>
      <c r="D53" s="46"/>
      <c r="E53" s="46"/>
      <c r="F53" s="46"/>
      <c r="G53" s="46"/>
      <c r="H53" s="46"/>
      <c r="I53" s="46"/>
      <c r="J53" s="46"/>
      <c r="K53" s="47"/>
      <c r="O53" s="214"/>
      <c r="P53" s="184"/>
      <c r="Q53" s="184"/>
      <c r="R53" s="184"/>
      <c r="S53" s="214"/>
      <c r="T53" s="184"/>
      <c r="U53" s="184"/>
      <c r="V53" s="184"/>
      <c r="W53" s="214"/>
      <c r="X53" s="184"/>
      <c r="Y53" s="184"/>
      <c r="Z53" s="184"/>
      <c r="AA53" s="237"/>
      <c r="AB53" s="184"/>
      <c r="AC53" s="184"/>
      <c r="AD53" s="184"/>
      <c r="AE53" s="248">
        <f t="shared" si="2"/>
        <v>0</v>
      </c>
    </row>
    <row r="54" spans="1:31" ht="24">
      <c r="A54" s="123" t="s">
        <v>157</v>
      </c>
      <c r="B54" s="122" t="s">
        <v>154</v>
      </c>
      <c r="C54" s="115" t="s">
        <v>66</v>
      </c>
      <c r="D54" s="115" t="s">
        <v>19</v>
      </c>
      <c r="E54" s="115" t="s">
        <v>63</v>
      </c>
      <c r="F54" s="115" t="s">
        <v>52</v>
      </c>
      <c r="G54" s="115" t="s">
        <v>14</v>
      </c>
      <c r="H54" s="115" t="s">
        <v>15</v>
      </c>
      <c r="I54" s="115" t="s">
        <v>16</v>
      </c>
      <c r="J54" s="115" t="s">
        <v>65</v>
      </c>
      <c r="K54" s="47">
        <f>K55</f>
        <v>0</v>
      </c>
      <c r="L54" s="47">
        <f>L55</f>
        <v>0</v>
      </c>
      <c r="M54" s="47">
        <f>M55</f>
        <v>0</v>
      </c>
      <c r="N54" s="47">
        <f>N55</f>
        <v>0</v>
      </c>
      <c r="O54" s="217">
        <f>O55</f>
        <v>0</v>
      </c>
      <c r="P54" s="47"/>
      <c r="Q54" s="47"/>
      <c r="R54" s="47"/>
      <c r="S54" s="217">
        <f>S55</f>
        <v>0</v>
      </c>
      <c r="T54" s="47"/>
      <c r="U54" s="47"/>
      <c r="V54" s="47"/>
      <c r="W54" s="217">
        <f>W55</f>
        <v>0</v>
      </c>
      <c r="X54" s="47"/>
      <c r="Y54" s="47"/>
      <c r="Z54" s="47"/>
      <c r="AA54" s="238">
        <f>AA55</f>
        <v>0</v>
      </c>
      <c r="AB54" s="64"/>
      <c r="AC54" s="64"/>
      <c r="AD54" s="64"/>
      <c r="AE54" s="248">
        <f t="shared" si="2"/>
        <v>0</v>
      </c>
    </row>
    <row r="55" spans="1:31" ht="24.75" thickBot="1">
      <c r="A55" s="24"/>
      <c r="B55" s="113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48" t="s">
        <v>65</v>
      </c>
      <c r="K55" s="67"/>
      <c r="O55" s="214"/>
      <c r="P55" s="184"/>
      <c r="Q55" s="184"/>
      <c r="R55" s="184"/>
      <c r="S55" s="214"/>
      <c r="T55" s="184"/>
      <c r="U55" s="184"/>
      <c r="V55" s="184"/>
      <c r="W55" s="214"/>
      <c r="X55" s="184"/>
      <c r="Y55" s="184"/>
      <c r="Z55" s="184"/>
      <c r="AA55" s="237"/>
      <c r="AB55" s="184"/>
      <c r="AC55" s="184"/>
      <c r="AD55" s="184"/>
      <c r="AE55" s="248">
        <f t="shared" si="2"/>
        <v>0</v>
      </c>
    </row>
    <row r="56" spans="1:31" ht="12.75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42" t="s">
        <v>14</v>
      </c>
      <c r="K56" s="43">
        <f>K57+K58</f>
        <v>500</v>
      </c>
      <c r="L56" s="43">
        <f>L57+L58</f>
        <v>0</v>
      </c>
      <c r="M56" s="43">
        <f>M57+M58</f>
        <v>0</v>
      </c>
      <c r="N56" s="43">
        <f>N57+N58</f>
        <v>0</v>
      </c>
      <c r="O56" s="219">
        <f>O57+O58</f>
        <v>100</v>
      </c>
      <c r="P56" s="43">
        <f aca="true" t="shared" si="8" ref="P56:AD56">P57+P58</f>
        <v>0</v>
      </c>
      <c r="Q56" s="43">
        <f t="shared" si="8"/>
        <v>30</v>
      </c>
      <c r="R56" s="43">
        <f t="shared" si="8"/>
        <v>70</v>
      </c>
      <c r="S56" s="219">
        <f t="shared" si="8"/>
        <v>100</v>
      </c>
      <c r="T56" s="43">
        <f t="shared" si="8"/>
        <v>30</v>
      </c>
      <c r="U56" s="43">
        <f t="shared" si="8"/>
        <v>0</v>
      </c>
      <c r="V56" s="43">
        <f t="shared" si="8"/>
        <v>70</v>
      </c>
      <c r="W56" s="219">
        <f t="shared" si="8"/>
        <v>100</v>
      </c>
      <c r="X56" s="43">
        <f t="shared" si="8"/>
        <v>30</v>
      </c>
      <c r="Y56" s="43">
        <f t="shared" si="8"/>
        <v>0</v>
      </c>
      <c r="Z56" s="43">
        <f t="shared" si="8"/>
        <v>70</v>
      </c>
      <c r="AA56" s="239">
        <f t="shared" si="8"/>
        <v>200</v>
      </c>
      <c r="AB56" s="249">
        <f t="shared" si="8"/>
        <v>30</v>
      </c>
      <c r="AC56" s="249">
        <f t="shared" si="8"/>
        <v>50</v>
      </c>
      <c r="AD56" s="249">
        <f t="shared" si="8"/>
        <v>120</v>
      </c>
      <c r="AE56" s="248">
        <f t="shared" si="2"/>
        <v>800</v>
      </c>
    </row>
    <row r="57" spans="1:31" ht="12.75">
      <c r="A57" s="123" t="s">
        <v>71</v>
      </c>
      <c r="B57" s="114" t="s">
        <v>72</v>
      </c>
      <c r="C57" s="115" t="s">
        <v>156</v>
      </c>
      <c r="D57" s="115" t="s">
        <v>19</v>
      </c>
      <c r="E57" s="115" t="s">
        <v>70</v>
      </c>
      <c r="F57" s="115" t="s">
        <v>20</v>
      </c>
      <c r="G57" s="115" t="s">
        <v>14</v>
      </c>
      <c r="H57" s="115" t="s">
        <v>20</v>
      </c>
      <c r="I57" s="115" t="s">
        <v>16</v>
      </c>
      <c r="J57" s="115" t="s">
        <v>65</v>
      </c>
      <c r="K57" s="47">
        <f>400+100</f>
        <v>500</v>
      </c>
      <c r="O57" s="214">
        <f>400/4</f>
        <v>100</v>
      </c>
      <c r="P57" s="184"/>
      <c r="Q57" s="184">
        <v>30</v>
      </c>
      <c r="R57" s="184">
        <v>70</v>
      </c>
      <c r="S57" s="214">
        <v>100</v>
      </c>
      <c r="T57" s="184">
        <v>30</v>
      </c>
      <c r="U57" s="184"/>
      <c r="V57" s="184">
        <v>70</v>
      </c>
      <c r="W57" s="214">
        <v>100</v>
      </c>
      <c r="X57" s="184">
        <v>30</v>
      </c>
      <c r="Y57" s="184"/>
      <c r="Z57" s="184">
        <v>70</v>
      </c>
      <c r="AA57" s="237">
        <f>100+100</f>
        <v>200</v>
      </c>
      <c r="AB57" s="184">
        <v>30</v>
      </c>
      <c r="AC57" s="184">
        <v>50</v>
      </c>
      <c r="AD57" s="184">
        <f>70+50</f>
        <v>120</v>
      </c>
      <c r="AE57" s="248">
        <f>SUM(O57:AB57)</f>
        <v>830</v>
      </c>
    </row>
    <row r="58" spans="1:31" ht="12.75">
      <c r="A58" s="123" t="s">
        <v>73</v>
      </c>
      <c r="B58" s="114" t="s">
        <v>74</v>
      </c>
      <c r="C58" s="115" t="s">
        <v>14</v>
      </c>
      <c r="D58" s="115" t="s">
        <v>19</v>
      </c>
      <c r="E58" s="115" t="s">
        <v>70</v>
      </c>
      <c r="F58" s="115" t="s">
        <v>77</v>
      </c>
      <c r="G58" s="115" t="s">
        <v>14</v>
      </c>
      <c r="H58" s="115" t="s">
        <v>15</v>
      </c>
      <c r="I58" s="115" t="s">
        <v>16</v>
      </c>
      <c r="J58" s="115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37"/>
      <c r="AB58" s="184"/>
      <c r="AC58" s="184"/>
      <c r="AD58" s="184"/>
      <c r="AE58" s="248">
        <f t="shared" si="2"/>
        <v>0</v>
      </c>
    </row>
    <row r="59" spans="1:31" ht="24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46" t="s">
        <v>65</v>
      </c>
      <c r="K59" s="47"/>
      <c r="N59" s="104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37"/>
      <c r="AB59" s="184"/>
      <c r="AC59" s="184"/>
      <c r="AD59" s="184"/>
      <c r="AE59" s="248">
        <f t="shared" si="2"/>
        <v>0</v>
      </c>
    </row>
    <row r="60" spans="1:31" ht="24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46" t="s">
        <v>65</v>
      </c>
      <c r="K60" s="101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37"/>
      <c r="AB60" s="184"/>
      <c r="AC60" s="184"/>
      <c r="AD60" s="184"/>
      <c r="AE60" s="248">
        <f t="shared" si="2"/>
        <v>0</v>
      </c>
    </row>
    <row r="61" spans="1:31" ht="24.75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48" t="s">
        <v>65</v>
      </c>
      <c r="K61" s="49"/>
      <c r="N61" s="104">
        <v>1410</v>
      </c>
      <c r="O61" s="214"/>
      <c r="P61" s="184"/>
      <c r="Q61" s="184"/>
      <c r="R61" s="184"/>
      <c r="S61" s="214"/>
      <c r="T61" s="184"/>
      <c r="U61" s="184"/>
      <c r="V61" s="184"/>
      <c r="W61" s="214"/>
      <c r="X61" s="184"/>
      <c r="Y61" s="184"/>
      <c r="Z61" s="184"/>
      <c r="AA61" s="237"/>
      <c r="AB61" s="184"/>
      <c r="AC61" s="184"/>
      <c r="AD61" s="184"/>
      <c r="AE61" s="248">
        <f t="shared" si="2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68">
        <f aca="true" t="shared" si="9" ref="K62:O63">K63</f>
        <v>550</v>
      </c>
      <c r="L62" s="68">
        <f t="shared" si="9"/>
        <v>0</v>
      </c>
      <c r="M62" s="68">
        <f t="shared" si="9"/>
        <v>0</v>
      </c>
      <c r="N62" s="68">
        <f t="shared" si="9"/>
        <v>0</v>
      </c>
      <c r="O62" s="224">
        <f t="shared" si="9"/>
        <v>0</v>
      </c>
      <c r="P62" s="68"/>
      <c r="Q62" s="68"/>
      <c r="R62" s="68"/>
      <c r="S62" s="224">
        <f>S63</f>
        <v>0</v>
      </c>
      <c r="T62" s="68"/>
      <c r="U62" s="68"/>
      <c r="V62" s="68"/>
      <c r="W62" s="224">
        <f>W63</f>
        <v>210</v>
      </c>
      <c r="X62" s="68"/>
      <c r="Y62" s="68"/>
      <c r="Z62" s="68"/>
      <c r="AA62" s="244">
        <f>AA63</f>
        <v>340</v>
      </c>
      <c r="AB62" s="249"/>
      <c r="AC62" s="249"/>
      <c r="AD62" s="249"/>
      <c r="AE62" s="248">
        <f t="shared" si="2"/>
        <v>550</v>
      </c>
    </row>
    <row r="63" spans="1:31" ht="24.75" thickBot="1">
      <c r="A63" s="126" t="s">
        <v>115</v>
      </c>
      <c r="B63" s="272" t="s">
        <v>217</v>
      </c>
      <c r="C63" s="129" t="s">
        <v>66</v>
      </c>
      <c r="D63" s="129" t="s">
        <v>19</v>
      </c>
      <c r="E63" s="129" t="s">
        <v>218</v>
      </c>
      <c r="F63" s="129" t="s">
        <v>23</v>
      </c>
      <c r="G63" s="129" t="s">
        <v>219</v>
      </c>
      <c r="H63" s="129" t="s">
        <v>38</v>
      </c>
      <c r="I63" s="129" t="s">
        <v>16</v>
      </c>
      <c r="J63" s="129" t="s">
        <v>101</v>
      </c>
      <c r="K63" s="68">
        <f>450+100</f>
        <v>550</v>
      </c>
      <c r="L63" s="68">
        <f t="shared" si="9"/>
        <v>0</v>
      </c>
      <c r="M63" s="68">
        <f t="shared" si="9"/>
        <v>0</v>
      </c>
      <c r="N63" s="68">
        <f t="shared" si="9"/>
        <v>0</v>
      </c>
      <c r="O63" s="224">
        <f t="shared" si="9"/>
        <v>0</v>
      </c>
      <c r="P63" s="68"/>
      <c r="Q63" s="68"/>
      <c r="R63" s="68"/>
      <c r="S63" s="224">
        <f>S64</f>
        <v>0</v>
      </c>
      <c r="T63" s="68"/>
      <c r="U63" s="68"/>
      <c r="V63" s="68"/>
      <c r="W63" s="224">
        <v>210</v>
      </c>
      <c r="X63" s="68">
        <v>50</v>
      </c>
      <c r="Y63" s="68">
        <v>80</v>
      </c>
      <c r="Z63" s="68">
        <v>80</v>
      </c>
      <c r="AA63" s="244">
        <f>240+100</f>
        <v>340</v>
      </c>
      <c r="AB63" s="249">
        <v>80</v>
      </c>
      <c r="AC63" s="249">
        <f>80+50</f>
        <v>130</v>
      </c>
      <c r="AD63" s="249">
        <f>80+50</f>
        <v>130</v>
      </c>
      <c r="AE63" s="248">
        <f>SUM(O63:AD63)</f>
        <v>1100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54" t="s">
        <v>118</v>
      </c>
      <c r="K64" s="55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37"/>
      <c r="AB64" s="184"/>
      <c r="AC64" s="184"/>
      <c r="AD64" s="184"/>
      <c r="AE64" s="248">
        <f t="shared" si="2"/>
        <v>0</v>
      </c>
    </row>
    <row r="65" spans="1:31" ht="13.5" thickBot="1">
      <c r="A65" s="28" t="s">
        <v>111</v>
      </c>
      <c r="B65" s="90" t="s">
        <v>81</v>
      </c>
      <c r="C65" s="50" t="s">
        <v>14</v>
      </c>
      <c r="D65" s="50" t="s">
        <v>19</v>
      </c>
      <c r="E65" s="50" t="s">
        <v>82</v>
      </c>
      <c r="F65" s="50" t="s">
        <v>158</v>
      </c>
      <c r="G65" s="50" t="s">
        <v>85</v>
      </c>
      <c r="H65" s="50" t="s">
        <v>15</v>
      </c>
      <c r="I65" s="50" t="s">
        <v>16</v>
      </c>
      <c r="J65" s="50" t="s">
        <v>14</v>
      </c>
      <c r="K65" s="100">
        <v>2000</v>
      </c>
      <c r="L65">
        <v>500</v>
      </c>
      <c r="O65" s="214">
        <v>302</v>
      </c>
      <c r="P65" s="184"/>
      <c r="Q65" s="184">
        <v>112</v>
      </c>
      <c r="R65" s="184">
        <v>190</v>
      </c>
      <c r="S65" s="214">
        <v>524</v>
      </c>
      <c r="T65" s="184">
        <v>190</v>
      </c>
      <c r="U65" s="184">
        <v>160</v>
      </c>
      <c r="V65" s="184">
        <v>174</v>
      </c>
      <c r="W65" s="214">
        <f>586-107</f>
        <v>479</v>
      </c>
      <c r="X65" s="184">
        <v>145</v>
      </c>
      <c r="Y65" s="184">
        <f>195+25-53</f>
        <v>167</v>
      </c>
      <c r="Z65" s="184">
        <f>195+26-54</f>
        <v>167</v>
      </c>
      <c r="AA65" s="237">
        <f>699-4</f>
        <v>695</v>
      </c>
      <c r="AB65" s="184">
        <v>233</v>
      </c>
      <c r="AC65" s="184">
        <v>233</v>
      </c>
      <c r="AD65" s="184">
        <f>233-4</f>
        <v>229</v>
      </c>
      <c r="AE65" s="248">
        <f>SUM(O65:AD65)</f>
        <v>4000</v>
      </c>
    </row>
    <row r="66" spans="1:31" ht="13.5" thickBot="1">
      <c r="A66" s="29" t="s">
        <v>112</v>
      </c>
      <c r="B66" s="132" t="s">
        <v>83</v>
      </c>
      <c r="C66" s="59" t="s">
        <v>66</v>
      </c>
      <c r="D66" s="59" t="s">
        <v>19</v>
      </c>
      <c r="E66" s="59" t="s">
        <v>84</v>
      </c>
      <c r="F66" s="59" t="s">
        <v>38</v>
      </c>
      <c r="G66" s="59" t="s">
        <v>159</v>
      </c>
      <c r="H66" s="59" t="s">
        <v>38</v>
      </c>
      <c r="I66" s="59" t="s">
        <v>16</v>
      </c>
      <c r="J66" s="59" t="s">
        <v>86</v>
      </c>
      <c r="K66" s="68">
        <v>200</v>
      </c>
      <c r="L66">
        <v>704</v>
      </c>
      <c r="N66" s="104"/>
      <c r="O66" s="214"/>
      <c r="P66" s="184"/>
      <c r="Q66" s="184"/>
      <c r="R66" s="184"/>
      <c r="S66" s="214">
        <v>114</v>
      </c>
      <c r="T66" s="184"/>
      <c r="U66" s="184"/>
      <c r="V66" s="184">
        <v>114</v>
      </c>
      <c r="W66" s="214">
        <v>43</v>
      </c>
      <c r="X66" s="184"/>
      <c r="Y66" s="184">
        <f>14+7</f>
        <v>21</v>
      </c>
      <c r="Z66" s="184">
        <f>15+7</f>
        <v>22</v>
      </c>
      <c r="AA66" s="237">
        <v>43</v>
      </c>
      <c r="AB66" s="184">
        <v>14</v>
      </c>
      <c r="AC66" s="184">
        <v>14</v>
      </c>
      <c r="AD66" s="184">
        <v>15</v>
      </c>
      <c r="AE66" s="248">
        <f>SUM(O66:AD66)</f>
        <v>400</v>
      </c>
    </row>
    <row r="67" spans="1:31" ht="13.5" thickBot="1">
      <c r="A67" s="30" t="s">
        <v>87</v>
      </c>
      <c r="B67" s="91" t="s">
        <v>88</v>
      </c>
      <c r="C67" s="42" t="s">
        <v>14</v>
      </c>
      <c r="D67" s="42" t="s">
        <v>89</v>
      </c>
      <c r="E67" s="42" t="s">
        <v>15</v>
      </c>
      <c r="F67" s="42" t="s">
        <v>15</v>
      </c>
      <c r="G67" s="42" t="s">
        <v>14</v>
      </c>
      <c r="H67" s="42" t="s">
        <v>15</v>
      </c>
      <c r="I67" s="42" t="s">
        <v>16</v>
      </c>
      <c r="J67" s="42" t="s">
        <v>14</v>
      </c>
      <c r="K67" s="102">
        <f>K69+K73+K91+K98+K99+K102+K103+K98+K99+K90</f>
        <v>225676.40000000002</v>
      </c>
      <c r="L67" s="102">
        <f aca="true" t="shared" si="10" ref="L67:AD67">L69+L73+L91+L98+L99+L102+L103+L98+L99+L90</f>
        <v>73979</v>
      </c>
      <c r="M67" s="102">
        <f t="shared" si="10"/>
        <v>73979</v>
      </c>
      <c r="N67" s="102">
        <f t="shared" si="10"/>
        <v>73979</v>
      </c>
      <c r="O67" s="102">
        <f t="shared" si="10"/>
        <v>56961</v>
      </c>
      <c r="P67" s="102">
        <f t="shared" si="10"/>
        <v>20785</v>
      </c>
      <c r="Q67" s="102">
        <f t="shared" si="10"/>
        <v>20638</v>
      </c>
      <c r="R67" s="102">
        <f t="shared" si="10"/>
        <v>15538</v>
      </c>
      <c r="S67" s="102">
        <f t="shared" si="10"/>
        <v>62228.1</v>
      </c>
      <c r="T67" s="102">
        <f t="shared" si="10"/>
        <v>17947</v>
      </c>
      <c r="U67" s="102">
        <f t="shared" si="10"/>
        <v>17949</v>
      </c>
      <c r="V67" s="102">
        <f t="shared" si="10"/>
        <v>26332.1</v>
      </c>
      <c r="W67" s="102">
        <f t="shared" si="10"/>
        <v>47658.8</v>
      </c>
      <c r="X67" s="102">
        <f t="shared" si="10"/>
        <v>15694</v>
      </c>
      <c r="Y67" s="102">
        <f t="shared" si="10"/>
        <v>15879</v>
      </c>
      <c r="Z67" s="102">
        <f t="shared" si="10"/>
        <v>16085.8</v>
      </c>
      <c r="AA67" s="102">
        <f t="shared" si="10"/>
        <v>58828.899999999994</v>
      </c>
      <c r="AB67" s="102">
        <f t="shared" si="10"/>
        <v>19600</v>
      </c>
      <c r="AC67" s="102">
        <f t="shared" si="10"/>
        <v>19600</v>
      </c>
      <c r="AD67" s="102">
        <f t="shared" si="10"/>
        <v>19868.9</v>
      </c>
      <c r="AE67" s="248">
        <f t="shared" si="2"/>
        <v>392524.69999999995</v>
      </c>
    </row>
    <row r="68" spans="1:31" ht="12.75">
      <c r="A68" s="19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102"/>
      <c r="O68" s="214"/>
      <c r="P68" s="184"/>
      <c r="Q68" s="184"/>
      <c r="R68" s="184"/>
      <c r="S68" s="214"/>
      <c r="T68" s="184"/>
      <c r="U68" s="184"/>
      <c r="V68" s="184"/>
      <c r="W68" s="214"/>
      <c r="X68" s="184"/>
      <c r="Y68" s="184"/>
      <c r="Z68" s="184"/>
      <c r="AA68" s="237"/>
      <c r="AB68" s="184"/>
      <c r="AC68" s="184"/>
      <c r="AD68" s="184"/>
      <c r="AE68" s="248">
        <f t="shared" si="2"/>
        <v>0</v>
      </c>
    </row>
    <row r="69" spans="1:31" ht="12.75">
      <c r="A69" s="109" t="s">
        <v>17</v>
      </c>
      <c r="B69" s="17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45">
        <f>K70+K71+K72</f>
        <v>79979</v>
      </c>
      <c r="L69" s="45">
        <f>L70+L71+L72</f>
        <v>0</v>
      </c>
      <c r="M69" s="45">
        <f>M70+M71+M72</f>
        <v>0</v>
      </c>
      <c r="N69" s="45">
        <f>N70+N71+N72</f>
        <v>0</v>
      </c>
      <c r="O69" s="216">
        <f>O70+O71+O72</f>
        <v>16878</v>
      </c>
      <c r="P69" s="45">
        <f aca="true" t="shared" si="11" ref="P69:AD69">P70+P71+P72</f>
        <v>7379</v>
      </c>
      <c r="Q69" s="45">
        <f t="shared" si="11"/>
        <v>7232</v>
      </c>
      <c r="R69" s="45">
        <f t="shared" si="11"/>
        <v>2267</v>
      </c>
      <c r="S69" s="216">
        <f t="shared" si="11"/>
        <v>22832</v>
      </c>
      <c r="T69" s="45">
        <f t="shared" si="11"/>
        <v>5047</v>
      </c>
      <c r="U69" s="45">
        <f t="shared" si="11"/>
        <v>5047</v>
      </c>
      <c r="V69" s="45">
        <f t="shared" si="11"/>
        <v>12738</v>
      </c>
      <c r="W69" s="216">
        <f t="shared" si="11"/>
        <v>15553</v>
      </c>
      <c r="X69" s="45">
        <f t="shared" si="11"/>
        <v>5183</v>
      </c>
      <c r="Y69" s="45">
        <f t="shared" si="11"/>
        <v>5183</v>
      </c>
      <c r="Z69" s="45">
        <f t="shared" si="11"/>
        <v>5187</v>
      </c>
      <c r="AA69" s="245">
        <f t="shared" si="11"/>
        <v>24716</v>
      </c>
      <c r="AB69" s="249">
        <f t="shared" si="11"/>
        <v>8237</v>
      </c>
      <c r="AC69" s="249">
        <f t="shared" si="11"/>
        <v>8237</v>
      </c>
      <c r="AD69" s="249">
        <f t="shared" si="11"/>
        <v>8242</v>
      </c>
      <c r="AE69" s="248">
        <f t="shared" si="2"/>
        <v>135242</v>
      </c>
    </row>
    <row r="70" spans="1:31" ht="12.75">
      <c r="A70" s="110" t="s">
        <v>102</v>
      </c>
      <c r="B70" s="135" t="s">
        <v>160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112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37"/>
      <c r="AB70" s="184"/>
      <c r="AC70" s="184"/>
      <c r="AD70" s="184"/>
      <c r="AE70" s="248">
        <f t="shared" si="2"/>
        <v>0</v>
      </c>
    </row>
    <row r="71" spans="1:32" ht="24">
      <c r="A71" s="110" t="s">
        <v>162</v>
      </c>
      <c r="B71" s="135" t="s">
        <v>145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27</v>
      </c>
      <c r="H71" s="117" t="s">
        <v>38</v>
      </c>
      <c r="I71" s="117" t="s">
        <v>16</v>
      </c>
      <c r="J71" s="117" t="s">
        <v>91</v>
      </c>
      <c r="K71" s="45">
        <f>68152+11582</f>
        <v>79734</v>
      </c>
      <c r="O71" s="214">
        <f>17038-1660+1500</f>
        <v>16878</v>
      </c>
      <c r="P71" s="184">
        <v>7379</v>
      </c>
      <c r="Q71" s="184">
        <v>7232</v>
      </c>
      <c r="R71" s="184">
        <f>767+1500</f>
        <v>2267</v>
      </c>
      <c r="S71" s="214">
        <f>17038-398-1500+7692</f>
        <v>22832</v>
      </c>
      <c r="T71" s="184">
        <f>5679-132-500</f>
        <v>5047</v>
      </c>
      <c r="U71" s="184">
        <f>5679-132-500</f>
        <v>5047</v>
      </c>
      <c r="V71" s="184">
        <f>5546-500+7692</f>
        <v>12738</v>
      </c>
      <c r="W71" s="214">
        <f>17038+232-7692+5791</f>
        <v>15369</v>
      </c>
      <c r="X71" s="184">
        <f>5679+77-2564+1930</f>
        <v>5122</v>
      </c>
      <c r="Y71" s="184">
        <f>5679+77-2564+1930</f>
        <v>5122</v>
      </c>
      <c r="Z71" s="184">
        <f>5758-2564+1931</f>
        <v>5125</v>
      </c>
      <c r="AA71" s="237">
        <f>17038+1826+5791</f>
        <v>24655</v>
      </c>
      <c r="AB71" s="184">
        <f>5679+608+1930</f>
        <v>8217</v>
      </c>
      <c r="AC71" s="184">
        <f>5679+608+1930</f>
        <v>8217</v>
      </c>
      <c r="AD71" s="184">
        <f>6290+1931</f>
        <v>8221</v>
      </c>
      <c r="AE71" s="248">
        <f>SUM(O71:AD71)</f>
        <v>159468</v>
      </c>
      <c r="AF71">
        <f>AA71+W71+S71+O71</f>
        <v>79734</v>
      </c>
    </row>
    <row r="72" spans="1:32" ht="24">
      <c r="A72" s="110" t="s">
        <v>164</v>
      </c>
      <c r="B72" s="135" t="s">
        <v>163</v>
      </c>
      <c r="C72" s="117" t="s">
        <v>14</v>
      </c>
      <c r="D72" s="117" t="s">
        <v>89</v>
      </c>
      <c r="E72" s="117" t="s">
        <v>23</v>
      </c>
      <c r="F72" s="117" t="s">
        <v>20</v>
      </c>
      <c r="G72" s="117" t="s">
        <v>92</v>
      </c>
      <c r="H72" s="117" t="s">
        <v>38</v>
      </c>
      <c r="I72" s="117" t="s">
        <v>16</v>
      </c>
      <c r="J72" s="117" t="s">
        <v>91</v>
      </c>
      <c r="K72" s="45">
        <v>245</v>
      </c>
      <c r="O72" s="214"/>
      <c r="P72" s="184"/>
      <c r="Q72" s="184"/>
      <c r="R72" s="184"/>
      <c r="S72" s="214"/>
      <c r="T72" s="184"/>
      <c r="U72" s="184"/>
      <c r="V72" s="184"/>
      <c r="W72" s="214">
        <v>184</v>
      </c>
      <c r="X72" s="184">
        <v>61</v>
      </c>
      <c r="Y72" s="184">
        <v>61</v>
      </c>
      <c r="Z72" s="184">
        <v>62</v>
      </c>
      <c r="AA72" s="237">
        <v>61</v>
      </c>
      <c r="AB72" s="184">
        <v>20</v>
      </c>
      <c r="AC72" s="184">
        <v>20</v>
      </c>
      <c r="AD72" s="184">
        <v>21</v>
      </c>
      <c r="AE72" s="248">
        <f>SUM(O72:AD72)</f>
        <v>490</v>
      </c>
      <c r="AF72">
        <f aca="true" t="shared" si="12" ref="AF72:AF112">AA72+W72+S72+O72</f>
        <v>245</v>
      </c>
    </row>
    <row r="73" spans="1:32" ht="12.75">
      <c r="A73" s="26" t="s">
        <v>36</v>
      </c>
      <c r="B73" s="17" t="s">
        <v>93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45">
        <f>K74+K75+K76+K77+K78+K79+K80+K81+K82+K83+K84+K85+K86+K87</f>
        <v>100241.40000000001</v>
      </c>
      <c r="L73" s="45">
        <f aca="true" t="shared" si="13" ref="L73:AE73">L74+L75+L76+L77+L78+L79+L80+L81+L82+L83+L84+L85+L86+L87</f>
        <v>73979</v>
      </c>
      <c r="M73" s="45">
        <f t="shared" si="13"/>
        <v>73979</v>
      </c>
      <c r="N73" s="45">
        <f t="shared" si="13"/>
        <v>73979</v>
      </c>
      <c r="O73" s="45">
        <f t="shared" si="13"/>
        <v>27554</v>
      </c>
      <c r="P73" s="45">
        <f t="shared" si="13"/>
        <v>9083</v>
      </c>
      <c r="Q73" s="45">
        <f t="shared" si="13"/>
        <v>9083</v>
      </c>
      <c r="R73" s="45">
        <f t="shared" si="13"/>
        <v>9388</v>
      </c>
      <c r="S73" s="45">
        <f t="shared" si="13"/>
        <v>30092.1</v>
      </c>
      <c r="T73" s="45">
        <f t="shared" si="13"/>
        <v>9802</v>
      </c>
      <c r="U73" s="45">
        <f t="shared" si="13"/>
        <v>9804</v>
      </c>
      <c r="V73" s="45">
        <f t="shared" si="13"/>
        <v>10486.1</v>
      </c>
      <c r="W73" s="45">
        <f t="shared" si="13"/>
        <v>18591.3</v>
      </c>
      <c r="X73" s="45">
        <f t="shared" si="13"/>
        <v>6193</v>
      </c>
      <c r="Y73" s="45">
        <f t="shared" si="13"/>
        <v>6194</v>
      </c>
      <c r="Z73" s="45">
        <f t="shared" si="13"/>
        <v>6204.3</v>
      </c>
      <c r="AA73" s="45">
        <f t="shared" si="13"/>
        <v>24004</v>
      </c>
      <c r="AB73" s="45">
        <f t="shared" si="13"/>
        <v>7998</v>
      </c>
      <c r="AC73" s="45">
        <f t="shared" si="13"/>
        <v>7998</v>
      </c>
      <c r="AD73" s="45">
        <f t="shared" si="13"/>
        <v>8010</v>
      </c>
      <c r="AE73" s="45">
        <f t="shared" si="13"/>
        <v>197187.6</v>
      </c>
      <c r="AF73">
        <f t="shared" si="12"/>
        <v>100241.4</v>
      </c>
    </row>
    <row r="74" spans="1:32" ht="96">
      <c r="A74" s="25" t="s">
        <v>39</v>
      </c>
      <c r="B74" s="92" t="s">
        <v>136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294">
        <f>68168-551+6362</f>
        <v>73979</v>
      </c>
      <c r="L74" s="101">
        <f>68168-551+6362</f>
        <v>73979</v>
      </c>
      <c r="M74" s="101">
        <f>68168-551+6362</f>
        <v>73979</v>
      </c>
      <c r="N74" s="101">
        <f>68168-551+6362</f>
        <v>73979</v>
      </c>
      <c r="O74" s="101">
        <v>21943</v>
      </c>
      <c r="P74" s="101">
        <v>7314</v>
      </c>
      <c r="Q74" s="101">
        <v>7314</v>
      </c>
      <c r="R74" s="101">
        <v>7315</v>
      </c>
      <c r="S74" s="101">
        <v>24396</v>
      </c>
      <c r="T74" s="101">
        <v>8132</v>
      </c>
      <c r="U74" s="101">
        <v>8132</v>
      </c>
      <c r="V74" s="101">
        <v>8132</v>
      </c>
      <c r="W74" s="101">
        <v>10559</v>
      </c>
      <c r="X74" s="101">
        <v>3519</v>
      </c>
      <c r="Y74" s="101">
        <v>3519</v>
      </c>
      <c r="Z74" s="101">
        <v>3521</v>
      </c>
      <c r="AA74" s="101">
        <v>17081</v>
      </c>
      <c r="AB74" s="101">
        <v>5693</v>
      </c>
      <c r="AC74" s="101">
        <v>5693</v>
      </c>
      <c r="AD74" s="101">
        <v>5695</v>
      </c>
      <c r="AE74" s="248">
        <f>SUM(O74:AD74)</f>
        <v>147958</v>
      </c>
      <c r="AF74">
        <f t="shared" si="12"/>
        <v>73979</v>
      </c>
    </row>
    <row r="75" spans="1:32" ht="24">
      <c r="A75" s="25" t="s">
        <v>41</v>
      </c>
      <c r="B75" s="92" t="s">
        <v>137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294">
        <v>192</v>
      </c>
      <c r="O75" s="214">
        <v>48</v>
      </c>
      <c r="P75" s="184">
        <v>16</v>
      </c>
      <c r="Q75" s="184">
        <v>16</v>
      </c>
      <c r="R75" s="184">
        <v>16</v>
      </c>
      <c r="S75" s="214">
        <v>48</v>
      </c>
      <c r="T75" s="184">
        <v>16</v>
      </c>
      <c r="U75" s="184">
        <v>16</v>
      </c>
      <c r="V75" s="184">
        <v>16</v>
      </c>
      <c r="W75" s="214">
        <v>48</v>
      </c>
      <c r="X75" s="184">
        <v>16</v>
      </c>
      <c r="Y75" s="184">
        <v>16</v>
      </c>
      <c r="Z75" s="184">
        <v>16</v>
      </c>
      <c r="AA75" s="237">
        <v>48</v>
      </c>
      <c r="AB75" s="184">
        <v>16</v>
      </c>
      <c r="AC75" s="184">
        <v>16</v>
      </c>
      <c r="AD75" s="184">
        <v>16</v>
      </c>
      <c r="AE75" s="248">
        <f>SUM(O75:AD75)</f>
        <v>384</v>
      </c>
      <c r="AF75">
        <f t="shared" si="12"/>
        <v>192</v>
      </c>
    </row>
    <row r="76" spans="1:32" ht="24">
      <c r="A76" s="25" t="s">
        <v>94</v>
      </c>
      <c r="B76" s="92" t="s">
        <v>138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294">
        <v>3526</v>
      </c>
      <c r="O76" s="214">
        <v>881</v>
      </c>
      <c r="P76" s="184">
        <v>293</v>
      </c>
      <c r="Q76" s="184">
        <v>293</v>
      </c>
      <c r="R76" s="184">
        <v>295</v>
      </c>
      <c r="S76" s="214">
        <v>882</v>
      </c>
      <c r="T76" s="184">
        <v>294</v>
      </c>
      <c r="U76" s="184">
        <v>295</v>
      </c>
      <c r="V76" s="184">
        <v>293</v>
      </c>
      <c r="W76" s="214">
        <v>882</v>
      </c>
      <c r="X76" s="184">
        <v>294</v>
      </c>
      <c r="Y76" s="184">
        <v>295</v>
      </c>
      <c r="Z76" s="184">
        <v>293</v>
      </c>
      <c r="AA76" s="237">
        <v>881</v>
      </c>
      <c r="AB76" s="184">
        <v>295</v>
      </c>
      <c r="AC76" s="184">
        <v>293</v>
      </c>
      <c r="AD76" s="184">
        <v>293</v>
      </c>
      <c r="AE76" s="248">
        <f t="shared" si="2"/>
        <v>6171</v>
      </c>
      <c r="AF76">
        <f t="shared" si="12"/>
        <v>3526</v>
      </c>
    </row>
    <row r="77" spans="1:32" ht="24">
      <c r="A77" s="25" t="s">
        <v>95</v>
      </c>
      <c r="B77" s="93" t="s">
        <v>139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294">
        <v>33</v>
      </c>
      <c r="O77" s="214">
        <v>9</v>
      </c>
      <c r="P77" s="184">
        <v>3</v>
      </c>
      <c r="Q77" s="184">
        <v>3</v>
      </c>
      <c r="R77" s="184">
        <v>3</v>
      </c>
      <c r="S77" s="214">
        <v>8</v>
      </c>
      <c r="T77" s="184">
        <v>2</v>
      </c>
      <c r="U77" s="184">
        <v>3</v>
      </c>
      <c r="V77" s="184">
        <v>3</v>
      </c>
      <c r="W77" s="214">
        <v>8</v>
      </c>
      <c r="X77" s="184">
        <v>2</v>
      </c>
      <c r="Y77" s="184">
        <v>3</v>
      </c>
      <c r="Z77" s="184">
        <v>3</v>
      </c>
      <c r="AA77" s="237">
        <v>8</v>
      </c>
      <c r="AB77" s="184">
        <v>2</v>
      </c>
      <c r="AC77" s="184">
        <v>3</v>
      </c>
      <c r="AD77" s="184">
        <v>3</v>
      </c>
      <c r="AE77" s="248">
        <f>SUM(O77:AD77)</f>
        <v>66</v>
      </c>
      <c r="AF77">
        <f t="shared" si="12"/>
        <v>33</v>
      </c>
    </row>
    <row r="78" spans="1:32" ht="36">
      <c r="A78" s="25" t="s">
        <v>109</v>
      </c>
      <c r="B78" s="93" t="s">
        <v>140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294">
        <v>2627</v>
      </c>
      <c r="O78" s="214">
        <v>657</v>
      </c>
      <c r="P78" s="184">
        <v>219</v>
      </c>
      <c r="Q78" s="184">
        <v>219</v>
      </c>
      <c r="R78" s="184">
        <v>219</v>
      </c>
      <c r="S78" s="214">
        <v>657</v>
      </c>
      <c r="T78" s="184">
        <v>219</v>
      </c>
      <c r="U78" s="184">
        <v>219</v>
      </c>
      <c r="V78" s="184">
        <v>219</v>
      </c>
      <c r="W78" s="214">
        <v>657</v>
      </c>
      <c r="X78" s="184">
        <v>219</v>
      </c>
      <c r="Y78" s="184">
        <v>219</v>
      </c>
      <c r="Z78" s="184">
        <v>219</v>
      </c>
      <c r="AA78" s="237">
        <v>656</v>
      </c>
      <c r="AB78" s="184">
        <v>219</v>
      </c>
      <c r="AC78" s="184">
        <v>219</v>
      </c>
      <c r="AD78" s="184">
        <v>218</v>
      </c>
      <c r="AE78" s="248">
        <f>SUM(O78:AD78)</f>
        <v>5254</v>
      </c>
      <c r="AF78">
        <f t="shared" si="12"/>
        <v>2627</v>
      </c>
    </row>
    <row r="79" spans="1:32" ht="48">
      <c r="A79" s="25" t="s">
        <v>110</v>
      </c>
      <c r="B79" s="93" t="s">
        <v>141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294">
        <f>5130+813+1664</f>
        <v>7607</v>
      </c>
      <c r="O79" s="214">
        <v>1283</v>
      </c>
      <c r="P79" s="184">
        <v>427</v>
      </c>
      <c r="Q79" s="184">
        <v>427</v>
      </c>
      <c r="R79" s="184">
        <v>429</v>
      </c>
      <c r="S79" s="214">
        <f>1282+325</f>
        <v>1607</v>
      </c>
      <c r="T79" s="184">
        <v>427</v>
      </c>
      <c r="U79" s="184">
        <v>427</v>
      </c>
      <c r="V79" s="184">
        <f>428+325</f>
        <v>753</v>
      </c>
      <c r="W79" s="214">
        <f>1282+217+832</f>
        <v>2331</v>
      </c>
      <c r="X79" s="184">
        <f>427+73+277</f>
        <v>777</v>
      </c>
      <c r="Y79" s="184">
        <f>427+72+277</f>
        <v>776</v>
      </c>
      <c r="Z79" s="184">
        <f>428+73+277</f>
        <v>778</v>
      </c>
      <c r="AA79" s="237">
        <f>1283+271+832</f>
        <v>2386</v>
      </c>
      <c r="AB79" s="184">
        <f>427+90+277</f>
        <v>794</v>
      </c>
      <c r="AC79" s="184">
        <f>428+90+277</f>
        <v>795</v>
      </c>
      <c r="AD79" s="184">
        <f>428+91+278</f>
        <v>797</v>
      </c>
      <c r="AE79" s="248">
        <f>SUM(O79:AD79)</f>
        <v>15214</v>
      </c>
      <c r="AF79">
        <f t="shared" si="12"/>
        <v>7607</v>
      </c>
    </row>
    <row r="80" spans="1:32" ht="36">
      <c r="A80" s="25"/>
      <c r="B80" s="93" t="s">
        <v>142</v>
      </c>
      <c r="C80" s="46" t="s">
        <v>14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294">
        <f>5307+328</f>
        <v>5635</v>
      </c>
      <c r="O80" s="214">
        <f>1327+298</f>
        <v>1625</v>
      </c>
      <c r="P80" s="184">
        <v>442</v>
      </c>
      <c r="Q80" s="184">
        <v>442</v>
      </c>
      <c r="R80" s="184">
        <f>443+298</f>
        <v>741</v>
      </c>
      <c r="S80" s="214">
        <f>1326-298+131</f>
        <v>1159</v>
      </c>
      <c r="T80" s="184">
        <f>442-99</f>
        <v>343</v>
      </c>
      <c r="U80" s="184">
        <f>442-99</f>
        <v>343</v>
      </c>
      <c r="V80" s="184">
        <f>442-100+131</f>
        <v>473</v>
      </c>
      <c r="W80" s="214">
        <f>1327+87</f>
        <v>1414</v>
      </c>
      <c r="X80" s="184">
        <f>442+29</f>
        <v>471</v>
      </c>
      <c r="Y80" s="184">
        <f>442+29</f>
        <v>471</v>
      </c>
      <c r="Z80" s="184">
        <f>443+29</f>
        <v>472</v>
      </c>
      <c r="AA80" s="237">
        <f>1327+110</f>
        <v>1437</v>
      </c>
      <c r="AB80" s="184">
        <f>442+36</f>
        <v>478</v>
      </c>
      <c r="AC80" s="184">
        <f>442+36</f>
        <v>478</v>
      </c>
      <c r="AD80" s="184">
        <v>481</v>
      </c>
      <c r="AE80" s="248">
        <f>SUM(O80:AD80)</f>
        <v>11270</v>
      </c>
      <c r="AF80">
        <f t="shared" si="12"/>
        <v>5635</v>
      </c>
    </row>
    <row r="81" spans="1:32" ht="36">
      <c r="A81" s="25"/>
      <c r="B81" s="93" t="s">
        <v>143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294">
        <f>4299+563</f>
        <v>4862</v>
      </c>
      <c r="O81" s="214">
        <v>1075</v>
      </c>
      <c r="P81" s="184">
        <v>358</v>
      </c>
      <c r="Q81" s="184">
        <v>358</v>
      </c>
      <c r="R81" s="184">
        <v>359</v>
      </c>
      <c r="S81" s="214">
        <v>1074</v>
      </c>
      <c r="T81" s="184">
        <v>358</v>
      </c>
      <c r="U81" s="184">
        <v>358</v>
      </c>
      <c r="V81" s="184">
        <v>358</v>
      </c>
      <c r="W81" s="214">
        <f>1075+282</f>
        <v>1357</v>
      </c>
      <c r="X81" s="184">
        <f>358+94</f>
        <v>452</v>
      </c>
      <c r="Y81" s="184">
        <f>358+94</f>
        <v>452</v>
      </c>
      <c r="Z81" s="184">
        <f>359+94</f>
        <v>453</v>
      </c>
      <c r="AA81" s="237">
        <f>1075+281</f>
        <v>1356</v>
      </c>
      <c r="AB81" s="184">
        <f>358+94</f>
        <v>452</v>
      </c>
      <c r="AC81" s="184">
        <f>358+94</f>
        <v>452</v>
      </c>
      <c r="AD81" s="184">
        <f>359+95</f>
        <v>454</v>
      </c>
      <c r="AE81" s="248">
        <f>SUM(O81:AD81)</f>
        <v>9726</v>
      </c>
      <c r="AF81">
        <f t="shared" si="12"/>
        <v>4862</v>
      </c>
    </row>
    <row r="82" spans="1:32" ht="24">
      <c r="A82" s="25"/>
      <c r="B82" s="93" t="s">
        <v>144</v>
      </c>
      <c r="C82" s="46" t="s">
        <v>14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294">
        <v>135</v>
      </c>
      <c r="O82" s="214">
        <v>33</v>
      </c>
      <c r="P82" s="184">
        <v>11</v>
      </c>
      <c r="Q82" s="184">
        <v>11</v>
      </c>
      <c r="R82" s="184">
        <v>11</v>
      </c>
      <c r="S82" s="214">
        <v>34</v>
      </c>
      <c r="T82" s="184">
        <v>11</v>
      </c>
      <c r="U82" s="184">
        <v>11</v>
      </c>
      <c r="V82" s="184">
        <v>12</v>
      </c>
      <c r="W82" s="214">
        <v>34</v>
      </c>
      <c r="X82" s="184">
        <v>11</v>
      </c>
      <c r="Y82" s="184">
        <v>11</v>
      </c>
      <c r="Z82" s="184">
        <v>12</v>
      </c>
      <c r="AA82" s="237">
        <v>34</v>
      </c>
      <c r="AB82" s="184">
        <v>11</v>
      </c>
      <c r="AC82" s="184">
        <v>11</v>
      </c>
      <c r="AD82" s="184">
        <v>12</v>
      </c>
      <c r="AE82" s="248">
        <f t="shared" si="2"/>
        <v>236</v>
      </c>
      <c r="AF82">
        <f t="shared" si="12"/>
        <v>135</v>
      </c>
    </row>
    <row r="83" spans="1:32" ht="24">
      <c r="A83" s="25"/>
      <c r="B83" s="93" t="s">
        <v>215</v>
      </c>
      <c r="C83" s="46" t="s">
        <v>14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294">
        <f>227.1+227.2</f>
        <v>454.29999999999995</v>
      </c>
      <c r="O83" s="214"/>
      <c r="P83" s="184"/>
      <c r="Q83" s="184"/>
      <c r="R83" s="184"/>
      <c r="S83" s="214">
        <v>227.1</v>
      </c>
      <c r="T83" s="184"/>
      <c r="U83" s="184"/>
      <c r="V83" s="184">
        <v>227.1</v>
      </c>
      <c r="W83" s="214">
        <f>227.2</f>
        <v>227.2</v>
      </c>
      <c r="X83" s="184">
        <v>76</v>
      </c>
      <c r="Y83" s="184">
        <v>76</v>
      </c>
      <c r="Z83" s="184">
        <v>75.2</v>
      </c>
      <c r="AA83" s="237"/>
      <c r="AB83" s="184"/>
      <c r="AC83" s="184"/>
      <c r="AD83" s="184"/>
      <c r="AE83" s="248">
        <f t="shared" si="2"/>
        <v>908.6</v>
      </c>
      <c r="AF83">
        <f t="shared" si="12"/>
        <v>454.29999999999995</v>
      </c>
    </row>
    <row r="84" spans="1:32" ht="48">
      <c r="A84" s="25"/>
      <c r="B84" s="93" t="s">
        <v>220</v>
      </c>
      <c r="C84" s="46" t="s">
        <v>14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294">
        <v>342</v>
      </c>
      <c r="O84" s="237"/>
      <c r="P84" s="207"/>
      <c r="Q84" s="207"/>
      <c r="R84" s="207"/>
      <c r="S84" s="237"/>
      <c r="T84" s="207"/>
      <c r="U84" s="207"/>
      <c r="V84" s="207"/>
      <c r="W84" s="237">
        <v>257</v>
      </c>
      <c r="X84" s="207">
        <v>85</v>
      </c>
      <c r="Y84" s="207">
        <v>85</v>
      </c>
      <c r="Z84" s="207">
        <v>87</v>
      </c>
      <c r="AA84" s="237">
        <v>85</v>
      </c>
      <c r="AB84" s="207">
        <v>28</v>
      </c>
      <c r="AC84" s="207">
        <v>28</v>
      </c>
      <c r="AD84" s="184">
        <v>29</v>
      </c>
      <c r="AE84" s="248"/>
      <c r="AF84">
        <f t="shared" si="12"/>
        <v>342</v>
      </c>
    </row>
    <row r="85" spans="1:32" ht="24">
      <c r="A85" s="25"/>
      <c r="B85" s="93" t="s">
        <v>221</v>
      </c>
      <c r="C85" s="46" t="s">
        <v>14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294">
        <v>130</v>
      </c>
      <c r="O85" s="237"/>
      <c r="P85" s="207"/>
      <c r="Q85" s="207"/>
      <c r="R85" s="207"/>
      <c r="S85" s="237"/>
      <c r="T85" s="207"/>
      <c r="U85" s="207"/>
      <c r="V85" s="207"/>
      <c r="W85" s="237">
        <v>98</v>
      </c>
      <c r="X85" s="207">
        <v>32</v>
      </c>
      <c r="Y85" s="207">
        <v>32</v>
      </c>
      <c r="Z85" s="207">
        <v>34</v>
      </c>
      <c r="AA85" s="237">
        <v>32</v>
      </c>
      <c r="AB85" s="207">
        <v>10</v>
      </c>
      <c r="AC85" s="207">
        <v>10</v>
      </c>
      <c r="AD85" s="184">
        <v>12</v>
      </c>
      <c r="AE85" s="248"/>
      <c r="AF85">
        <f t="shared" si="12"/>
        <v>130</v>
      </c>
    </row>
    <row r="86" spans="1:32" ht="36">
      <c r="A86" s="25"/>
      <c r="B86" s="93" t="s">
        <v>222</v>
      </c>
      <c r="C86" s="46" t="s">
        <v>14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294">
        <v>352</v>
      </c>
      <c r="O86" s="237"/>
      <c r="P86" s="207"/>
      <c r="Q86" s="207"/>
      <c r="R86" s="207"/>
      <c r="S86" s="237"/>
      <c r="T86" s="207"/>
      <c r="U86" s="207"/>
      <c r="V86" s="207"/>
      <c r="W86" s="237">
        <v>352</v>
      </c>
      <c r="X86" s="207">
        <v>117</v>
      </c>
      <c r="Y86" s="207">
        <v>117</v>
      </c>
      <c r="Z86" s="207">
        <v>118</v>
      </c>
      <c r="AA86" s="237"/>
      <c r="AB86" s="207"/>
      <c r="AC86" s="207"/>
      <c r="AD86" s="184"/>
      <c r="AE86" s="248"/>
      <c r="AF86">
        <f t="shared" si="12"/>
        <v>352</v>
      </c>
    </row>
    <row r="87" spans="1:32" s="278" customFormat="1" ht="24">
      <c r="A87" s="275"/>
      <c r="B87" s="276" t="s">
        <v>223</v>
      </c>
      <c r="C87" s="277" t="s">
        <v>14</v>
      </c>
      <c r="D87" s="277" t="s">
        <v>89</v>
      </c>
      <c r="E87" s="277" t="s">
        <v>23</v>
      </c>
      <c r="F87" s="277" t="s">
        <v>23</v>
      </c>
      <c r="G87" s="277" t="s">
        <v>165</v>
      </c>
      <c r="H87" s="277" t="s">
        <v>38</v>
      </c>
      <c r="I87" s="277" t="s">
        <v>16</v>
      </c>
      <c r="J87" s="277" t="s">
        <v>91</v>
      </c>
      <c r="K87" s="295">
        <v>367.1</v>
      </c>
      <c r="O87" s="237"/>
      <c r="P87" s="279"/>
      <c r="Q87" s="279"/>
      <c r="R87" s="279"/>
      <c r="S87" s="237"/>
      <c r="T87" s="279"/>
      <c r="U87" s="279"/>
      <c r="V87" s="279"/>
      <c r="W87" s="237">
        <v>367.1</v>
      </c>
      <c r="X87" s="279">
        <v>122</v>
      </c>
      <c r="Y87" s="279">
        <v>122</v>
      </c>
      <c r="Z87" s="279">
        <v>123.1</v>
      </c>
      <c r="AA87" s="237"/>
      <c r="AB87" s="279"/>
      <c r="AC87" s="279"/>
      <c r="AD87" s="286"/>
      <c r="AE87" s="280"/>
      <c r="AF87">
        <f t="shared" si="12"/>
        <v>367.1</v>
      </c>
    </row>
    <row r="88" spans="1:32" s="278" customFormat="1" ht="24">
      <c r="A88" s="281"/>
      <c r="B88" s="282" t="s">
        <v>228</v>
      </c>
      <c r="C88" s="283" t="s">
        <v>14</v>
      </c>
      <c r="D88" s="283" t="s">
        <v>89</v>
      </c>
      <c r="E88" s="283" t="s">
        <v>23</v>
      </c>
      <c r="F88" s="283" t="s">
        <v>77</v>
      </c>
      <c r="G88" s="283" t="s">
        <v>229</v>
      </c>
      <c r="H88" s="283" t="s">
        <v>38</v>
      </c>
      <c r="I88" s="283" t="s">
        <v>16</v>
      </c>
      <c r="J88" s="283" t="s">
        <v>91</v>
      </c>
      <c r="K88" s="284">
        <v>1000</v>
      </c>
      <c r="O88" s="232"/>
      <c r="P88" s="285"/>
      <c r="Q88" s="285"/>
      <c r="R88" s="285"/>
      <c r="S88" s="232"/>
      <c r="T88" s="285"/>
      <c r="U88" s="285"/>
      <c r="V88" s="285"/>
      <c r="W88" s="232">
        <v>1000</v>
      </c>
      <c r="X88" s="285">
        <v>333</v>
      </c>
      <c r="Y88" s="285">
        <v>333</v>
      </c>
      <c r="Z88" s="285">
        <v>334</v>
      </c>
      <c r="AA88" s="232"/>
      <c r="AB88" s="279"/>
      <c r="AC88" s="279"/>
      <c r="AD88" s="286"/>
      <c r="AE88" s="280"/>
      <c r="AF88">
        <f t="shared" si="12"/>
        <v>1000</v>
      </c>
    </row>
    <row r="89" spans="1:32" s="119" customFormat="1" ht="24">
      <c r="A89" s="287"/>
      <c r="B89" s="288" t="s">
        <v>227</v>
      </c>
      <c r="C89" s="289" t="s">
        <v>14</v>
      </c>
      <c r="D89" s="289" t="s">
        <v>89</v>
      </c>
      <c r="E89" s="289" t="s">
        <v>23</v>
      </c>
      <c r="F89" s="289" t="s">
        <v>23</v>
      </c>
      <c r="G89" s="289" t="s">
        <v>232</v>
      </c>
      <c r="H89" s="289" t="s">
        <v>38</v>
      </c>
      <c r="I89" s="289" t="s">
        <v>16</v>
      </c>
      <c r="J89" s="289" t="s">
        <v>91</v>
      </c>
      <c r="K89" s="290">
        <f>1002+999+551+845</f>
        <v>3397</v>
      </c>
      <c r="O89" s="291">
        <v>1002</v>
      </c>
      <c r="P89" s="292">
        <v>1002</v>
      </c>
      <c r="Q89" s="292"/>
      <c r="R89" s="292"/>
      <c r="S89" s="291">
        <f>999+551</f>
        <v>1550</v>
      </c>
      <c r="T89" s="292">
        <v>333</v>
      </c>
      <c r="U89" s="292">
        <v>333</v>
      </c>
      <c r="V89" s="292">
        <f>333+551</f>
        <v>884</v>
      </c>
      <c r="W89" s="291">
        <v>845</v>
      </c>
      <c r="X89" s="292"/>
      <c r="Y89" s="292"/>
      <c r="Z89" s="292">
        <v>845</v>
      </c>
      <c r="AA89" s="291"/>
      <c r="AB89" s="186"/>
      <c r="AC89" s="186"/>
      <c r="AD89" s="186"/>
      <c r="AE89" s="293"/>
      <c r="AF89">
        <f t="shared" si="12"/>
        <v>3397</v>
      </c>
    </row>
    <row r="90" spans="1:32" s="119" customFormat="1" ht="24">
      <c r="A90" s="287"/>
      <c r="B90" s="288" t="s">
        <v>233</v>
      </c>
      <c r="C90" s="289" t="s">
        <v>14</v>
      </c>
      <c r="D90" s="289" t="s">
        <v>89</v>
      </c>
      <c r="E90" s="289" t="s">
        <v>23</v>
      </c>
      <c r="F90" s="289" t="s">
        <v>23</v>
      </c>
      <c r="G90" s="289" t="s">
        <v>234</v>
      </c>
      <c r="H90" s="289" t="s">
        <v>38</v>
      </c>
      <c r="I90" s="289" t="s">
        <v>16</v>
      </c>
      <c r="J90" s="289" t="s">
        <v>91</v>
      </c>
      <c r="K90" s="290">
        <v>1105</v>
      </c>
      <c r="O90" s="291"/>
      <c r="P90" s="292"/>
      <c r="Q90" s="292"/>
      <c r="R90" s="292"/>
      <c r="S90" s="291"/>
      <c r="T90" s="292"/>
      <c r="U90" s="292"/>
      <c r="V90" s="292"/>
      <c r="W90" s="291">
        <v>552.5</v>
      </c>
      <c r="X90" s="292"/>
      <c r="Y90" s="292">
        <v>184</v>
      </c>
      <c r="Z90" s="292">
        <v>368.5</v>
      </c>
      <c r="AA90" s="291">
        <v>552.5</v>
      </c>
      <c r="AB90" s="307">
        <v>184</v>
      </c>
      <c r="AC90" s="307">
        <v>184</v>
      </c>
      <c r="AD90" s="307">
        <v>184.5</v>
      </c>
      <c r="AE90" s="293"/>
      <c r="AF90"/>
    </row>
    <row r="91" spans="1:32" ht="12.75">
      <c r="A91" s="26" t="s">
        <v>44</v>
      </c>
      <c r="B91" s="105" t="s">
        <v>131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45">
        <f>K93+K94+K95+K96+K92</f>
        <v>27641</v>
      </c>
      <c r="L91" s="45">
        <f aca="true" t="shared" si="14" ref="L91:AD91">L93+L94+L95+L96+L92</f>
        <v>0</v>
      </c>
      <c r="M91" s="45">
        <f t="shared" si="14"/>
        <v>0</v>
      </c>
      <c r="N91" s="45">
        <f t="shared" si="14"/>
        <v>0</v>
      </c>
      <c r="O91" s="216">
        <f t="shared" si="14"/>
        <v>8839</v>
      </c>
      <c r="P91" s="45">
        <f t="shared" si="14"/>
        <v>2945</v>
      </c>
      <c r="Q91" s="45">
        <f t="shared" si="14"/>
        <v>2945</v>
      </c>
      <c r="R91" s="45">
        <f t="shared" si="14"/>
        <v>2949</v>
      </c>
      <c r="S91" s="216">
        <f t="shared" si="14"/>
        <v>5619</v>
      </c>
      <c r="T91" s="45">
        <f t="shared" si="14"/>
        <v>1871</v>
      </c>
      <c r="U91" s="45">
        <f t="shared" si="14"/>
        <v>1871</v>
      </c>
      <c r="V91" s="45">
        <f t="shared" si="14"/>
        <v>1877</v>
      </c>
      <c r="W91" s="216">
        <f t="shared" si="14"/>
        <v>7925</v>
      </c>
      <c r="X91" s="45">
        <f t="shared" si="14"/>
        <v>2641</v>
      </c>
      <c r="Y91" s="45">
        <f t="shared" si="14"/>
        <v>2641</v>
      </c>
      <c r="Z91" s="45">
        <f t="shared" si="14"/>
        <v>2643</v>
      </c>
      <c r="AA91" s="216">
        <f t="shared" si="14"/>
        <v>5258</v>
      </c>
      <c r="AB91" s="45">
        <f t="shared" si="14"/>
        <v>1751</v>
      </c>
      <c r="AC91" s="45">
        <f t="shared" si="14"/>
        <v>1751</v>
      </c>
      <c r="AD91" s="45">
        <f t="shared" si="14"/>
        <v>1994</v>
      </c>
      <c r="AE91" s="248">
        <f t="shared" si="2"/>
        <v>50024</v>
      </c>
      <c r="AF91">
        <f t="shared" si="12"/>
        <v>27641</v>
      </c>
    </row>
    <row r="92" spans="1:32" ht="12.75">
      <c r="A92" s="26"/>
      <c r="B92" s="105" t="s">
        <v>214</v>
      </c>
      <c r="C92" s="69" t="s">
        <v>198</v>
      </c>
      <c r="D92" s="69" t="s">
        <v>89</v>
      </c>
      <c r="E92" s="69" t="s">
        <v>23</v>
      </c>
      <c r="F92" s="69" t="s">
        <v>77</v>
      </c>
      <c r="G92" s="69" t="s">
        <v>199</v>
      </c>
      <c r="H92" s="69" t="s">
        <v>38</v>
      </c>
      <c r="I92" s="69" t="s">
        <v>16</v>
      </c>
      <c r="J92" s="69" t="s">
        <v>91</v>
      </c>
      <c r="K92" s="45">
        <v>120</v>
      </c>
      <c r="L92" s="268"/>
      <c r="M92" s="268"/>
      <c r="N92" s="268"/>
      <c r="O92" s="245"/>
      <c r="P92" s="189"/>
      <c r="Q92" s="189"/>
      <c r="R92" s="189"/>
      <c r="S92" s="245"/>
      <c r="T92" s="189"/>
      <c r="U92" s="189"/>
      <c r="V92" s="189"/>
      <c r="W92" s="245">
        <v>120</v>
      </c>
      <c r="X92" s="189">
        <v>40</v>
      </c>
      <c r="Y92" s="189">
        <v>40</v>
      </c>
      <c r="Z92" s="189">
        <v>40</v>
      </c>
      <c r="AA92" s="245"/>
      <c r="AB92" s="249"/>
      <c r="AC92" s="249"/>
      <c r="AD92" s="249"/>
      <c r="AE92" s="248"/>
      <c r="AF92">
        <f t="shared" si="12"/>
        <v>120</v>
      </c>
    </row>
    <row r="93" spans="1:32" ht="12.75">
      <c r="A93" s="26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166</v>
      </c>
      <c r="H93" s="70" t="s">
        <v>42</v>
      </c>
      <c r="I93" s="70" t="s">
        <v>16</v>
      </c>
      <c r="J93" s="70" t="s">
        <v>91</v>
      </c>
      <c r="K93" s="101">
        <v>50</v>
      </c>
      <c r="O93" s="214"/>
      <c r="P93" s="184"/>
      <c r="Q93" s="184"/>
      <c r="R93" s="184"/>
      <c r="S93" s="214">
        <v>50</v>
      </c>
      <c r="T93" s="184">
        <v>16</v>
      </c>
      <c r="U93" s="184">
        <v>16</v>
      </c>
      <c r="V93" s="184">
        <v>18</v>
      </c>
      <c r="W93" s="214"/>
      <c r="X93" s="184"/>
      <c r="Y93" s="184"/>
      <c r="Z93" s="184"/>
      <c r="AA93" s="237"/>
      <c r="AB93" s="184"/>
      <c r="AC93" s="184"/>
      <c r="AD93" s="184"/>
      <c r="AE93" s="248">
        <f t="shared" si="2"/>
        <v>100</v>
      </c>
      <c r="AF93">
        <f t="shared" si="12"/>
        <v>50</v>
      </c>
    </row>
    <row r="94" spans="1:32" ht="12.75">
      <c r="A94" s="26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166</v>
      </c>
      <c r="H94" s="70" t="s">
        <v>42</v>
      </c>
      <c r="I94" s="70" t="s">
        <v>16</v>
      </c>
      <c r="J94" s="70" t="s">
        <v>91</v>
      </c>
      <c r="K94" s="101">
        <v>80</v>
      </c>
      <c r="O94" s="214"/>
      <c r="P94" s="184"/>
      <c r="Q94" s="184"/>
      <c r="R94" s="184"/>
      <c r="S94" s="214">
        <v>20</v>
      </c>
      <c r="T94" s="184">
        <v>6</v>
      </c>
      <c r="U94" s="184">
        <v>6</v>
      </c>
      <c r="V94" s="184">
        <v>8</v>
      </c>
      <c r="W94" s="214">
        <v>40</v>
      </c>
      <c r="X94" s="184">
        <v>13</v>
      </c>
      <c r="Y94" s="184">
        <v>13</v>
      </c>
      <c r="Z94" s="184">
        <v>14</v>
      </c>
      <c r="AA94" s="237">
        <v>20</v>
      </c>
      <c r="AB94" s="184">
        <v>6</v>
      </c>
      <c r="AC94" s="184">
        <v>6</v>
      </c>
      <c r="AD94" s="184">
        <v>8</v>
      </c>
      <c r="AE94" s="248">
        <f>SUM(O94:AD94)</f>
        <v>160</v>
      </c>
      <c r="AF94">
        <f t="shared" si="12"/>
        <v>80</v>
      </c>
    </row>
    <row r="95" spans="1:32" ht="12.75">
      <c r="A95" s="26"/>
      <c r="B95" s="77" t="s">
        <v>132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166</v>
      </c>
      <c r="H95" s="70" t="s">
        <v>42</v>
      </c>
      <c r="I95" s="70" t="s">
        <v>16</v>
      </c>
      <c r="J95" s="70" t="s">
        <v>91</v>
      </c>
      <c r="K95" s="101">
        <v>3391</v>
      </c>
      <c r="O95" s="214">
        <v>1025</v>
      </c>
      <c r="P95" s="184">
        <v>341</v>
      </c>
      <c r="Q95" s="184">
        <v>341</v>
      </c>
      <c r="R95" s="184">
        <v>343</v>
      </c>
      <c r="S95" s="214">
        <v>789</v>
      </c>
      <c r="T95" s="184">
        <v>263</v>
      </c>
      <c r="U95" s="184">
        <v>263</v>
      </c>
      <c r="V95" s="184">
        <v>263</v>
      </c>
      <c r="W95" s="214">
        <v>553</v>
      </c>
      <c r="X95" s="184">
        <v>184</v>
      </c>
      <c r="Y95" s="184">
        <v>184</v>
      </c>
      <c r="Z95" s="184">
        <v>185</v>
      </c>
      <c r="AA95" s="237">
        <v>1024</v>
      </c>
      <c r="AB95" s="184">
        <v>341</v>
      </c>
      <c r="AC95" s="184">
        <v>341</v>
      </c>
      <c r="AD95" s="184">
        <v>342</v>
      </c>
      <c r="AE95" s="248">
        <f>SUM(O95:AD95)</f>
        <v>6782</v>
      </c>
      <c r="AF95">
        <f t="shared" si="12"/>
        <v>3391</v>
      </c>
    </row>
    <row r="96" spans="1:32" ht="12.75">
      <c r="A96" s="26"/>
      <c r="B96" s="77" t="s">
        <v>96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166</v>
      </c>
      <c r="H96" s="70" t="s">
        <v>42</v>
      </c>
      <c r="I96" s="70" t="s">
        <v>16</v>
      </c>
      <c r="J96" s="70" t="s">
        <v>91</v>
      </c>
      <c r="K96" s="101">
        <f>19000+5000</f>
        <v>24000</v>
      </c>
      <c r="O96" s="214">
        <v>7814</v>
      </c>
      <c r="P96" s="184">
        <v>2604</v>
      </c>
      <c r="Q96" s="184">
        <v>2604</v>
      </c>
      <c r="R96" s="184">
        <v>2606</v>
      </c>
      <c r="S96" s="214">
        <v>4760</v>
      </c>
      <c r="T96" s="184">
        <v>1586</v>
      </c>
      <c r="U96" s="184">
        <v>1586</v>
      </c>
      <c r="V96" s="184">
        <v>1588</v>
      </c>
      <c r="W96" s="214">
        <f>5712+1500</f>
        <v>7212</v>
      </c>
      <c r="X96" s="184">
        <f>1904+500</f>
        <v>2404</v>
      </c>
      <c r="Y96" s="184">
        <f>1904+500</f>
        <v>2404</v>
      </c>
      <c r="Z96" s="184">
        <f>1904+500</f>
        <v>2404</v>
      </c>
      <c r="AA96" s="237">
        <f>714+3500</f>
        <v>4214</v>
      </c>
      <c r="AB96" s="184">
        <f>238+1166</f>
        <v>1404</v>
      </c>
      <c r="AC96" s="184">
        <f>238+1166</f>
        <v>1404</v>
      </c>
      <c r="AD96" s="184">
        <f>238+1406</f>
        <v>1644</v>
      </c>
      <c r="AE96" s="248">
        <f t="shared" si="2"/>
        <v>43786</v>
      </c>
      <c r="AF96">
        <f t="shared" si="12"/>
        <v>24000</v>
      </c>
    </row>
    <row r="97" spans="1:32" ht="12.75">
      <c r="A97" s="97"/>
      <c r="B97" s="98" t="s">
        <v>135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166</v>
      </c>
      <c r="H97" s="70" t="s">
        <v>42</v>
      </c>
      <c r="I97" s="70" t="s">
        <v>16</v>
      </c>
      <c r="J97" s="70" t="s">
        <v>91</v>
      </c>
      <c r="K97" s="99"/>
      <c r="O97" s="214"/>
      <c r="P97" s="184"/>
      <c r="Q97" s="184"/>
      <c r="R97" s="184"/>
      <c r="S97" s="214"/>
      <c r="T97" s="184"/>
      <c r="U97" s="184"/>
      <c r="V97" s="184"/>
      <c r="W97" s="214"/>
      <c r="X97" s="184"/>
      <c r="Y97" s="184"/>
      <c r="Z97" s="184"/>
      <c r="AA97" s="237"/>
      <c r="AB97" s="184"/>
      <c r="AC97" s="184"/>
      <c r="AD97" s="184"/>
      <c r="AE97" s="248">
        <f aca="true" t="shared" si="15" ref="AE97:AE112">SUM(O97:AA97)</f>
        <v>0</v>
      </c>
      <c r="AF97">
        <f t="shared" si="12"/>
        <v>0</v>
      </c>
    </row>
    <row r="98" spans="1:32" ht="62.25" customHeight="1" thickBot="1">
      <c r="A98" s="27" t="s">
        <v>97</v>
      </c>
      <c r="B98" s="296" t="s">
        <v>130</v>
      </c>
      <c r="C98" s="71" t="s">
        <v>14</v>
      </c>
      <c r="D98" s="71" t="s">
        <v>89</v>
      </c>
      <c r="E98" s="71" t="s">
        <v>23</v>
      </c>
      <c r="F98" s="71" t="s">
        <v>77</v>
      </c>
      <c r="G98" s="71" t="s">
        <v>166</v>
      </c>
      <c r="H98" s="71" t="s">
        <v>42</v>
      </c>
      <c r="I98" s="71" t="s">
        <v>16</v>
      </c>
      <c r="J98" s="71" t="s">
        <v>91</v>
      </c>
      <c r="K98" s="106">
        <v>1274</v>
      </c>
      <c r="O98" s="214">
        <f>349-29</f>
        <v>320</v>
      </c>
      <c r="P98" s="184">
        <v>106</v>
      </c>
      <c r="Q98" s="184">
        <v>106</v>
      </c>
      <c r="R98" s="184">
        <v>108</v>
      </c>
      <c r="S98" s="214">
        <f>349-31.5</f>
        <v>317.5</v>
      </c>
      <c r="T98" s="184">
        <v>105</v>
      </c>
      <c r="U98" s="184">
        <v>105</v>
      </c>
      <c r="V98" s="184">
        <v>107.5</v>
      </c>
      <c r="W98" s="214">
        <f>350-31.5</f>
        <v>318.5</v>
      </c>
      <c r="X98" s="184">
        <v>105</v>
      </c>
      <c r="Y98" s="184">
        <v>105</v>
      </c>
      <c r="Z98" s="184">
        <v>108.5</v>
      </c>
      <c r="AA98" s="237">
        <f>349-31</f>
        <v>318</v>
      </c>
      <c r="AB98" s="184">
        <v>105</v>
      </c>
      <c r="AC98" s="184">
        <v>105</v>
      </c>
      <c r="AD98" s="184">
        <v>108</v>
      </c>
      <c r="AE98" s="248">
        <f>SUM(O98:AD98)</f>
        <v>2548</v>
      </c>
      <c r="AF98">
        <f t="shared" si="12"/>
        <v>1274</v>
      </c>
    </row>
    <row r="99" spans="1:32" ht="24.75" thickBot="1">
      <c r="A99" s="32" t="s">
        <v>50</v>
      </c>
      <c r="B99" s="297" t="s">
        <v>150</v>
      </c>
      <c r="C99" s="71" t="s">
        <v>14</v>
      </c>
      <c r="D99" s="71" t="s">
        <v>89</v>
      </c>
      <c r="E99" s="71" t="s">
        <v>23</v>
      </c>
      <c r="F99" s="71" t="s">
        <v>77</v>
      </c>
      <c r="G99" s="71" t="s">
        <v>166</v>
      </c>
      <c r="H99" s="71" t="s">
        <v>42</v>
      </c>
      <c r="I99" s="71" t="s">
        <v>16</v>
      </c>
      <c r="J99" s="71" t="s">
        <v>91</v>
      </c>
      <c r="K99" s="107">
        <v>1831</v>
      </c>
      <c r="O99" s="214"/>
      <c r="P99" s="184"/>
      <c r="Q99" s="184"/>
      <c r="R99" s="184"/>
      <c r="S99" s="214"/>
      <c r="T99" s="184"/>
      <c r="U99" s="184"/>
      <c r="V99" s="184"/>
      <c r="W99" s="214">
        <v>0</v>
      </c>
      <c r="X99" s="184"/>
      <c r="Y99" s="184"/>
      <c r="Z99" s="184"/>
      <c r="AA99" s="237">
        <v>1831.2</v>
      </c>
      <c r="AB99" s="184">
        <v>610</v>
      </c>
      <c r="AC99" s="184">
        <v>610</v>
      </c>
      <c r="AD99" s="184">
        <v>611.2</v>
      </c>
      <c r="AE99" s="248">
        <f t="shared" si="15"/>
        <v>1831.2</v>
      </c>
      <c r="AF99">
        <f t="shared" si="12"/>
        <v>1831.2</v>
      </c>
    </row>
    <row r="100" spans="1:32" ht="36">
      <c r="A100" s="253"/>
      <c r="B100" s="288" t="s">
        <v>224</v>
      </c>
      <c r="C100" s="231" t="s">
        <v>196</v>
      </c>
      <c r="D100" s="231" t="s">
        <v>89</v>
      </c>
      <c r="E100" s="231" t="s">
        <v>23</v>
      </c>
      <c r="F100" s="231" t="s">
        <v>42</v>
      </c>
      <c r="G100" s="231" t="s">
        <v>159</v>
      </c>
      <c r="H100" s="231" t="s">
        <v>38</v>
      </c>
      <c r="I100" s="231" t="s">
        <v>16</v>
      </c>
      <c r="J100" s="231" t="s">
        <v>91</v>
      </c>
      <c r="K100" s="255">
        <v>1392</v>
      </c>
      <c r="O100" s="232"/>
      <c r="P100" s="181"/>
      <c r="Q100" s="181"/>
      <c r="R100" s="181"/>
      <c r="S100" s="232">
        <v>493</v>
      </c>
      <c r="T100" s="181">
        <v>164</v>
      </c>
      <c r="U100" s="181">
        <v>164</v>
      </c>
      <c r="V100" s="181">
        <v>165</v>
      </c>
      <c r="W100" s="232">
        <v>342</v>
      </c>
      <c r="X100" s="181">
        <v>114</v>
      </c>
      <c r="Y100" s="181">
        <v>114</v>
      </c>
      <c r="Z100" s="181">
        <v>114</v>
      </c>
      <c r="AA100" s="232">
        <v>557</v>
      </c>
      <c r="AB100" s="184">
        <v>185</v>
      </c>
      <c r="AC100" s="184">
        <v>185</v>
      </c>
      <c r="AD100" s="184">
        <v>187</v>
      </c>
      <c r="AE100" s="248"/>
      <c r="AF100">
        <f t="shared" si="12"/>
        <v>1392</v>
      </c>
    </row>
    <row r="101" spans="1:32" ht="36">
      <c r="A101" s="253"/>
      <c r="B101" s="288" t="s">
        <v>230</v>
      </c>
      <c r="C101" s="231" t="s">
        <v>196</v>
      </c>
      <c r="D101" s="231" t="s">
        <v>89</v>
      </c>
      <c r="E101" s="231" t="s">
        <v>23</v>
      </c>
      <c r="F101" s="231" t="s">
        <v>42</v>
      </c>
      <c r="G101" s="231" t="s">
        <v>159</v>
      </c>
      <c r="H101" s="231" t="s">
        <v>38</v>
      </c>
      <c r="I101" s="231" t="s">
        <v>16</v>
      </c>
      <c r="J101" s="231" t="s">
        <v>91</v>
      </c>
      <c r="K101" s="255">
        <v>169</v>
      </c>
      <c r="O101" s="232"/>
      <c r="P101" s="181"/>
      <c r="Q101" s="181"/>
      <c r="R101" s="181"/>
      <c r="S101" s="232">
        <v>57</v>
      </c>
      <c r="T101" s="181">
        <v>19</v>
      </c>
      <c r="U101" s="181">
        <v>19</v>
      </c>
      <c r="V101" s="181">
        <v>19</v>
      </c>
      <c r="W101" s="232">
        <v>38</v>
      </c>
      <c r="X101" s="181">
        <v>12</v>
      </c>
      <c r="Y101" s="181">
        <v>12</v>
      </c>
      <c r="Z101" s="181">
        <v>14</v>
      </c>
      <c r="AA101" s="232">
        <v>74</v>
      </c>
      <c r="AB101" s="184">
        <v>24</v>
      </c>
      <c r="AC101" s="184">
        <v>24</v>
      </c>
      <c r="AD101" s="184">
        <v>26</v>
      </c>
      <c r="AE101" s="248"/>
      <c r="AF101">
        <f t="shared" si="12"/>
        <v>169</v>
      </c>
    </row>
    <row r="102" spans="1:32" ht="12.75">
      <c r="A102" s="236"/>
      <c r="B102" s="269" t="s">
        <v>194</v>
      </c>
      <c r="C102" s="231" t="s">
        <v>14</v>
      </c>
      <c r="D102" s="231" t="s">
        <v>89</v>
      </c>
      <c r="E102" s="231" t="s">
        <v>23</v>
      </c>
      <c r="F102" s="231" t="s">
        <v>77</v>
      </c>
      <c r="G102" s="231" t="s">
        <v>195</v>
      </c>
      <c r="H102" s="231" t="s">
        <v>38</v>
      </c>
      <c r="I102" s="231" t="s">
        <v>16</v>
      </c>
      <c r="J102" s="231" t="s">
        <v>91</v>
      </c>
      <c r="K102" s="233">
        <f>15000-3500-1000</f>
        <v>10500</v>
      </c>
      <c r="O102" s="232">
        <v>3050</v>
      </c>
      <c r="P102" s="181">
        <v>1166</v>
      </c>
      <c r="Q102" s="181">
        <v>1166</v>
      </c>
      <c r="R102" s="181">
        <v>718</v>
      </c>
      <c r="S102" s="232">
        <f>4000-550-400</f>
        <v>3050</v>
      </c>
      <c r="T102" s="181">
        <f>1333-183-133</f>
        <v>1017</v>
      </c>
      <c r="U102" s="181">
        <f>1333-183-133</f>
        <v>1017</v>
      </c>
      <c r="V102" s="181">
        <v>1016</v>
      </c>
      <c r="W102" s="232">
        <f>5500-100-1000</f>
        <v>4400</v>
      </c>
      <c r="X102" s="181">
        <f>1833-33-333</f>
        <v>1467</v>
      </c>
      <c r="Y102" s="181">
        <f>1833-33-333</f>
        <v>1467</v>
      </c>
      <c r="Z102" s="181">
        <f>1800-334</f>
        <v>1466</v>
      </c>
      <c r="AA102" s="232">
        <f>2000+1000-3000</f>
        <v>0</v>
      </c>
      <c r="AB102" s="184">
        <f>666-666</f>
        <v>0</v>
      </c>
      <c r="AC102" s="184">
        <f>666-666</f>
        <v>0</v>
      </c>
      <c r="AD102" s="184">
        <f>668-668</f>
        <v>0</v>
      </c>
      <c r="AE102" s="248">
        <f t="shared" si="15"/>
        <v>21000</v>
      </c>
      <c r="AF102">
        <f t="shared" si="12"/>
        <v>10500</v>
      </c>
    </row>
    <row r="103" spans="1:32" ht="12.75">
      <c r="A103" s="253"/>
      <c r="B103" s="254"/>
      <c r="C103" s="231"/>
      <c r="D103" s="231"/>
      <c r="E103" s="231"/>
      <c r="F103" s="231"/>
      <c r="G103" s="231"/>
      <c r="H103" s="231"/>
      <c r="I103" s="231"/>
      <c r="J103" s="231"/>
      <c r="K103" s="255"/>
      <c r="O103" s="232"/>
      <c r="P103" s="181"/>
      <c r="Q103" s="181"/>
      <c r="R103" s="181"/>
      <c r="S103" s="232"/>
      <c r="T103" s="181"/>
      <c r="U103" s="181"/>
      <c r="V103" s="181"/>
      <c r="W103" s="232"/>
      <c r="X103" s="181"/>
      <c r="Y103" s="181"/>
      <c r="Z103" s="181"/>
      <c r="AA103" s="232"/>
      <c r="AB103" s="184"/>
      <c r="AC103" s="184"/>
      <c r="AD103" s="184"/>
      <c r="AE103" s="248"/>
      <c r="AF103">
        <f t="shared" si="12"/>
        <v>0</v>
      </c>
    </row>
    <row r="104" spans="1:32" ht="12.75">
      <c r="A104" s="253"/>
      <c r="B104" s="254"/>
      <c r="C104" s="231"/>
      <c r="D104" s="231"/>
      <c r="E104" s="231"/>
      <c r="F104" s="231"/>
      <c r="G104" s="231"/>
      <c r="H104" s="231"/>
      <c r="I104" s="231"/>
      <c r="J104" s="231"/>
      <c r="K104" s="255"/>
      <c r="O104" s="232"/>
      <c r="P104" s="181"/>
      <c r="Q104" s="181"/>
      <c r="R104" s="181"/>
      <c r="S104" s="232"/>
      <c r="T104" s="181"/>
      <c r="U104" s="181"/>
      <c r="V104" s="181"/>
      <c r="W104" s="232"/>
      <c r="X104" s="181"/>
      <c r="Y104" s="181"/>
      <c r="Z104" s="181"/>
      <c r="AA104" s="232"/>
      <c r="AB104" s="184"/>
      <c r="AC104" s="184"/>
      <c r="AD104" s="184"/>
      <c r="AE104" s="248"/>
      <c r="AF104">
        <f t="shared" si="12"/>
        <v>0</v>
      </c>
    </row>
    <row r="105" spans="1:32" ht="12.75">
      <c r="A105" s="253"/>
      <c r="B105" s="254"/>
      <c r="C105" s="231"/>
      <c r="D105" s="231"/>
      <c r="E105" s="231"/>
      <c r="F105" s="231"/>
      <c r="G105" s="231"/>
      <c r="H105" s="231"/>
      <c r="I105" s="231"/>
      <c r="J105" s="231"/>
      <c r="K105" s="255"/>
      <c r="O105" s="232"/>
      <c r="P105" s="181"/>
      <c r="Q105" s="181"/>
      <c r="R105" s="181"/>
      <c r="S105" s="232"/>
      <c r="T105" s="181"/>
      <c r="U105" s="181"/>
      <c r="V105" s="181"/>
      <c r="W105" s="232"/>
      <c r="X105" s="181"/>
      <c r="Y105" s="181"/>
      <c r="Z105" s="181"/>
      <c r="AA105" s="232"/>
      <c r="AB105" s="184"/>
      <c r="AC105" s="184"/>
      <c r="AD105" s="184"/>
      <c r="AE105" s="248"/>
      <c r="AF105">
        <f t="shared" si="12"/>
        <v>0</v>
      </c>
    </row>
    <row r="106" spans="1:32" ht="13.5" thickBot="1">
      <c r="A106" s="253"/>
      <c r="B106" s="254"/>
      <c r="C106" s="231"/>
      <c r="D106" s="231"/>
      <c r="E106" s="231"/>
      <c r="F106" s="231"/>
      <c r="G106" s="231"/>
      <c r="H106" s="231"/>
      <c r="I106" s="231"/>
      <c r="J106" s="231"/>
      <c r="K106" s="255"/>
      <c r="O106" s="232"/>
      <c r="P106" s="181"/>
      <c r="Q106" s="181"/>
      <c r="R106" s="181"/>
      <c r="S106" s="232"/>
      <c r="T106" s="181"/>
      <c r="U106" s="181"/>
      <c r="V106" s="181"/>
      <c r="W106" s="232"/>
      <c r="X106" s="181"/>
      <c r="Y106" s="181"/>
      <c r="Z106" s="181"/>
      <c r="AA106" s="232"/>
      <c r="AB106" s="184"/>
      <c r="AC106" s="184"/>
      <c r="AD106" s="184"/>
      <c r="AE106" s="248"/>
      <c r="AF106">
        <f t="shared" si="12"/>
        <v>0</v>
      </c>
    </row>
    <row r="107" spans="1:32" ht="25.5">
      <c r="A107" s="235" t="s">
        <v>98</v>
      </c>
      <c r="B107" s="234" t="s">
        <v>167</v>
      </c>
      <c r="C107" s="72" t="s">
        <v>14</v>
      </c>
      <c r="D107" s="72" t="s">
        <v>99</v>
      </c>
      <c r="E107" s="72" t="s">
        <v>15</v>
      </c>
      <c r="F107" s="72" t="s">
        <v>15</v>
      </c>
      <c r="G107" s="72" t="s">
        <v>14</v>
      </c>
      <c r="H107" s="72" t="s">
        <v>15</v>
      </c>
      <c r="I107" s="72" t="s">
        <v>16</v>
      </c>
      <c r="J107" s="72" t="s">
        <v>14</v>
      </c>
      <c r="K107" s="134">
        <f>K109+K111</f>
        <v>13259.2</v>
      </c>
      <c r="L107" s="43">
        <f>L109+L111</f>
        <v>0</v>
      </c>
      <c r="M107" s="43">
        <f>M109+M111</f>
        <v>0</v>
      </c>
      <c r="N107" s="43">
        <f>N109+N111</f>
        <v>0</v>
      </c>
      <c r="O107" s="219">
        <f>O109+O111</f>
        <v>2607</v>
      </c>
      <c r="P107" s="43">
        <f aca="true" t="shared" si="16" ref="P107:AD107">P109+P111</f>
        <v>869</v>
      </c>
      <c r="Q107" s="43">
        <f t="shared" si="16"/>
        <v>869</v>
      </c>
      <c r="R107" s="43">
        <f t="shared" si="16"/>
        <v>869</v>
      </c>
      <c r="S107" s="219">
        <f t="shared" si="16"/>
        <v>2916.6</v>
      </c>
      <c r="T107" s="43">
        <f t="shared" si="16"/>
        <v>869</v>
      </c>
      <c r="U107" s="43">
        <f t="shared" si="16"/>
        <v>869</v>
      </c>
      <c r="V107" s="43">
        <f t="shared" si="16"/>
        <v>1178.6</v>
      </c>
      <c r="W107" s="219">
        <f t="shared" si="16"/>
        <v>4895.4</v>
      </c>
      <c r="X107" s="43">
        <f t="shared" si="16"/>
        <v>2760.1</v>
      </c>
      <c r="Y107" s="43">
        <f t="shared" si="16"/>
        <v>1059</v>
      </c>
      <c r="Z107" s="43">
        <f t="shared" si="16"/>
        <v>1076.3</v>
      </c>
      <c r="AA107" s="239">
        <f t="shared" si="16"/>
        <v>2840.2</v>
      </c>
      <c r="AB107" s="249">
        <f t="shared" si="16"/>
        <v>947</v>
      </c>
      <c r="AC107" s="249">
        <f t="shared" si="16"/>
        <v>947</v>
      </c>
      <c r="AD107" s="249">
        <f t="shared" si="16"/>
        <v>946.2</v>
      </c>
      <c r="AE107" s="248">
        <f t="shared" si="15"/>
        <v>23678.2</v>
      </c>
      <c r="AF107">
        <f t="shared" si="12"/>
        <v>13259.199999999999</v>
      </c>
    </row>
    <row r="108" spans="1:32" ht="12.75">
      <c r="A108" s="26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108">
        <f>K109</f>
        <v>8445.5</v>
      </c>
      <c r="L108" s="108">
        <f>L109</f>
        <v>0</v>
      </c>
      <c r="M108" s="108">
        <f>M109</f>
        <v>0</v>
      </c>
      <c r="N108" s="108">
        <f>N109</f>
        <v>0</v>
      </c>
      <c r="O108" s="225">
        <f>O109</f>
        <v>1900</v>
      </c>
      <c r="P108" s="108">
        <f aca="true" t="shared" si="17" ref="P108:AD108">P109</f>
        <v>633</v>
      </c>
      <c r="Q108" s="108">
        <f t="shared" si="17"/>
        <v>633</v>
      </c>
      <c r="R108" s="108">
        <f t="shared" si="17"/>
        <v>634</v>
      </c>
      <c r="S108" s="225">
        <f t="shared" si="17"/>
        <v>1926</v>
      </c>
      <c r="T108" s="108">
        <f t="shared" si="17"/>
        <v>633</v>
      </c>
      <c r="U108" s="108">
        <f t="shared" si="17"/>
        <v>633</v>
      </c>
      <c r="V108" s="108">
        <f t="shared" si="17"/>
        <v>660</v>
      </c>
      <c r="W108" s="225">
        <f t="shared" si="17"/>
        <v>2487.3</v>
      </c>
      <c r="X108" s="108">
        <f t="shared" si="17"/>
        <v>823</v>
      </c>
      <c r="Y108" s="108">
        <f t="shared" si="17"/>
        <v>823</v>
      </c>
      <c r="Z108" s="108">
        <f t="shared" si="17"/>
        <v>841.3</v>
      </c>
      <c r="AA108" s="246">
        <f t="shared" si="17"/>
        <v>2132.2</v>
      </c>
      <c r="AB108" s="252">
        <f t="shared" si="17"/>
        <v>711</v>
      </c>
      <c r="AC108" s="252">
        <f t="shared" si="17"/>
        <v>711</v>
      </c>
      <c r="AD108" s="252">
        <f t="shared" si="17"/>
        <v>710.2</v>
      </c>
      <c r="AE108" s="248">
        <f t="shared" si="15"/>
        <v>14758.8</v>
      </c>
      <c r="AF108">
        <f t="shared" si="12"/>
        <v>8445.5</v>
      </c>
    </row>
    <row r="109" spans="1:32" ht="24">
      <c r="A109" s="25" t="s">
        <v>102</v>
      </c>
      <c r="B109" s="137" t="s">
        <v>168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144">
        <f>7833+26+502.3+85-0.8</f>
        <v>8445.5</v>
      </c>
      <c r="O109" s="214">
        <v>1900</v>
      </c>
      <c r="P109" s="184">
        <v>633</v>
      </c>
      <c r="Q109" s="184">
        <v>633</v>
      </c>
      <c r="R109" s="184">
        <v>634</v>
      </c>
      <c r="S109" s="214">
        <f>1900+26</f>
        <v>1926</v>
      </c>
      <c r="T109" s="184">
        <v>633</v>
      </c>
      <c r="U109" s="184">
        <v>633</v>
      </c>
      <c r="V109" s="184">
        <f>634+26</f>
        <v>660</v>
      </c>
      <c r="W109" s="214">
        <f>1900+502.3+85</f>
        <v>2487.3</v>
      </c>
      <c r="X109" s="184">
        <f>633+167+23</f>
        <v>823</v>
      </c>
      <c r="Y109" s="184">
        <f>633+167+23</f>
        <v>823</v>
      </c>
      <c r="Z109" s="184">
        <f>634+168.3+39</f>
        <v>841.3</v>
      </c>
      <c r="AA109" s="237">
        <f>7833-1900-1900-1900-0.8</f>
        <v>2132.2</v>
      </c>
      <c r="AB109" s="184">
        <v>711</v>
      </c>
      <c r="AC109" s="184">
        <v>711</v>
      </c>
      <c r="AD109" s="184">
        <f>711-0.8</f>
        <v>710.2</v>
      </c>
      <c r="AE109" s="248">
        <f>SUM(O109:AD109)</f>
        <v>16891</v>
      </c>
      <c r="AF109">
        <f t="shared" si="12"/>
        <v>8445.5</v>
      </c>
    </row>
    <row r="110" spans="1:32" ht="24.75" thickBot="1">
      <c r="A110" s="27" t="s">
        <v>36</v>
      </c>
      <c r="B110" s="34" t="s">
        <v>103</v>
      </c>
      <c r="C110" s="71" t="s">
        <v>14</v>
      </c>
      <c r="D110" s="71" t="s">
        <v>99</v>
      </c>
      <c r="E110" s="71" t="s">
        <v>42</v>
      </c>
      <c r="F110" s="71" t="s">
        <v>15</v>
      </c>
      <c r="G110" s="71" t="s">
        <v>14</v>
      </c>
      <c r="H110" s="71" t="s">
        <v>15</v>
      </c>
      <c r="I110" s="71" t="s">
        <v>16</v>
      </c>
      <c r="J110" s="71" t="s">
        <v>86</v>
      </c>
      <c r="K110" s="108">
        <f>K111</f>
        <v>4813.7</v>
      </c>
      <c r="L110" s="108">
        <f>L111</f>
        <v>0</v>
      </c>
      <c r="M110" s="108">
        <f>M111</f>
        <v>0</v>
      </c>
      <c r="N110" s="108">
        <f>N111</f>
        <v>0</v>
      </c>
      <c r="O110" s="225">
        <f>O111</f>
        <v>707</v>
      </c>
      <c r="P110" s="108">
        <f aca="true" t="shared" si="18" ref="P110:AD110">P111</f>
        <v>236</v>
      </c>
      <c r="Q110" s="108">
        <f t="shared" si="18"/>
        <v>236</v>
      </c>
      <c r="R110" s="108">
        <f t="shared" si="18"/>
        <v>235</v>
      </c>
      <c r="S110" s="225">
        <f t="shared" si="18"/>
        <v>990.6</v>
      </c>
      <c r="T110" s="108">
        <f t="shared" si="18"/>
        <v>236</v>
      </c>
      <c r="U110" s="108">
        <f t="shared" si="18"/>
        <v>236</v>
      </c>
      <c r="V110" s="108">
        <f t="shared" si="18"/>
        <v>518.5999999999999</v>
      </c>
      <c r="W110" s="225">
        <f t="shared" si="18"/>
        <v>2408.1</v>
      </c>
      <c r="X110" s="108">
        <f t="shared" si="18"/>
        <v>1937.1</v>
      </c>
      <c r="Y110" s="108">
        <f t="shared" si="18"/>
        <v>236</v>
      </c>
      <c r="Z110" s="108">
        <f t="shared" si="18"/>
        <v>235</v>
      </c>
      <c r="AA110" s="246">
        <f t="shared" si="18"/>
        <v>708</v>
      </c>
      <c r="AB110" s="252">
        <f t="shared" si="18"/>
        <v>236</v>
      </c>
      <c r="AC110" s="252">
        <f t="shared" si="18"/>
        <v>236</v>
      </c>
      <c r="AD110" s="252">
        <f t="shared" si="18"/>
        <v>236</v>
      </c>
      <c r="AE110" s="248">
        <f t="shared" si="15"/>
        <v>8919.4</v>
      </c>
      <c r="AF110">
        <f t="shared" si="12"/>
        <v>4813.7</v>
      </c>
    </row>
    <row r="111" spans="1:32" ht="24.75" thickBot="1">
      <c r="A111" s="125" t="s">
        <v>39</v>
      </c>
      <c r="B111" s="138" t="s">
        <v>169</v>
      </c>
      <c r="C111" s="139" t="s">
        <v>14</v>
      </c>
      <c r="D111" s="139" t="s">
        <v>99</v>
      </c>
      <c r="E111" s="139" t="s">
        <v>42</v>
      </c>
      <c r="F111" s="139" t="s">
        <v>23</v>
      </c>
      <c r="G111" s="139" t="s">
        <v>159</v>
      </c>
      <c r="H111" s="139" t="s">
        <v>38</v>
      </c>
      <c r="I111" s="139" t="s">
        <v>16</v>
      </c>
      <c r="J111" s="139" t="s">
        <v>86</v>
      </c>
      <c r="K111" s="120">
        <f>2829+283.6+1701.1</f>
        <v>4813.7</v>
      </c>
      <c r="O111" s="214">
        <v>707</v>
      </c>
      <c r="P111" s="184">
        <v>236</v>
      </c>
      <c r="Q111" s="184">
        <v>236</v>
      </c>
      <c r="R111" s="184">
        <v>235</v>
      </c>
      <c r="S111" s="214">
        <v>990.6</v>
      </c>
      <c r="T111" s="184">
        <v>236</v>
      </c>
      <c r="U111" s="184">
        <v>236</v>
      </c>
      <c r="V111" s="184">
        <f>235+283.8-0.2</f>
        <v>518.5999999999999</v>
      </c>
      <c r="W111" s="214">
        <f>707+1701.1</f>
        <v>2408.1</v>
      </c>
      <c r="X111" s="184">
        <f>236+1701.1</f>
        <v>1937.1</v>
      </c>
      <c r="Y111" s="184">
        <v>236</v>
      </c>
      <c r="Z111" s="184">
        <v>235</v>
      </c>
      <c r="AA111" s="237">
        <f>2829-707-707-707</f>
        <v>708</v>
      </c>
      <c r="AB111" s="184">
        <v>236</v>
      </c>
      <c r="AC111" s="184">
        <v>236</v>
      </c>
      <c r="AD111" s="184">
        <v>236</v>
      </c>
      <c r="AE111" s="248">
        <f t="shared" si="15"/>
        <v>8919.4</v>
      </c>
      <c r="AF111">
        <f t="shared" si="12"/>
        <v>4813.7</v>
      </c>
    </row>
    <row r="112" spans="1:32" ht="13.5" thickBot="1">
      <c r="A112" s="35"/>
      <c r="B112" s="94" t="s">
        <v>104</v>
      </c>
      <c r="C112" s="50"/>
      <c r="D112" s="50"/>
      <c r="E112" s="50"/>
      <c r="F112" s="50"/>
      <c r="G112" s="50"/>
      <c r="H112" s="50"/>
      <c r="I112" s="50"/>
      <c r="J112" s="50"/>
      <c r="K112" s="51">
        <f aca="true" t="shared" si="19" ref="K112:AD112">K23+K67+K107</f>
        <v>279626.60000000003</v>
      </c>
      <c r="L112" s="51">
        <f t="shared" si="19"/>
        <v>96011</v>
      </c>
      <c r="M112" s="51">
        <f t="shared" si="19"/>
        <v>92773</v>
      </c>
      <c r="N112" s="51">
        <f t="shared" si="19"/>
        <v>93228</v>
      </c>
      <c r="O112" s="226">
        <f t="shared" si="19"/>
        <v>66930</v>
      </c>
      <c r="P112" s="51">
        <f t="shared" si="19"/>
        <v>23970</v>
      </c>
      <c r="Q112" s="51">
        <f t="shared" si="19"/>
        <v>24055</v>
      </c>
      <c r="R112" s="51">
        <f t="shared" si="19"/>
        <v>18905</v>
      </c>
      <c r="S112" s="226">
        <f t="shared" si="19"/>
        <v>72843.70000000001</v>
      </c>
      <c r="T112" s="51">
        <f t="shared" si="19"/>
        <v>21978</v>
      </c>
      <c r="U112" s="51">
        <f t="shared" si="19"/>
        <v>21070</v>
      </c>
      <c r="V112" s="51">
        <f t="shared" si="19"/>
        <v>29795.699999999997</v>
      </c>
      <c r="W112" s="226">
        <f t="shared" si="19"/>
        <v>63881.200000000004</v>
      </c>
      <c r="X112" s="51">
        <f t="shared" si="19"/>
        <v>22835.1</v>
      </c>
      <c r="Y112" s="51">
        <f t="shared" si="19"/>
        <v>20353</v>
      </c>
      <c r="Z112" s="51">
        <f t="shared" si="19"/>
        <v>20483.1</v>
      </c>
      <c r="AA112" s="247">
        <f t="shared" si="19"/>
        <v>75972.09999999999</v>
      </c>
      <c r="AB112" s="249">
        <f t="shared" si="19"/>
        <v>24924</v>
      </c>
      <c r="AC112" s="249">
        <f t="shared" si="19"/>
        <v>25384</v>
      </c>
      <c r="AD112" s="249">
        <f t="shared" si="19"/>
        <v>25595.100000000002</v>
      </c>
      <c r="AE112" s="248">
        <f t="shared" si="15"/>
        <v>483071.89999999997</v>
      </c>
      <c r="AF112">
        <f t="shared" si="12"/>
        <v>279627</v>
      </c>
    </row>
    <row r="113" spans="15:27" ht="12.75">
      <c r="O113" s="210">
        <f>SUM(P112:R112)</f>
        <v>66930</v>
      </c>
      <c r="S113" s="210">
        <f>SUM(T112:V112)</f>
        <v>72843.7</v>
      </c>
      <c r="W113" s="210">
        <f>SUM(X112:Z112)</f>
        <v>63671.2</v>
      </c>
      <c r="AA113" s="210">
        <f>SUM(AB112:AD112)</f>
        <v>75903.1</v>
      </c>
    </row>
    <row r="114" ht="12.75">
      <c r="K114">
        <f>O112+S112+W112+AA112</f>
        <v>279627</v>
      </c>
    </row>
  </sheetData>
  <mergeCells count="5">
    <mergeCell ref="A42:A43"/>
    <mergeCell ref="A11:K11"/>
    <mergeCell ref="B12:K12"/>
    <mergeCell ref="C16:J20"/>
    <mergeCell ref="C21:J21"/>
  </mergeCells>
  <printOptions/>
  <pageMargins left="0.19" right="0.17" top="0.3" bottom="0.28" header="0.26" footer="0.23"/>
  <pageSetup fitToHeight="1" fitToWidth="1" horizontalDpi="600" verticalDpi="600" orientation="portrait" paperSize="9" scale="3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G117"/>
  <sheetViews>
    <sheetView workbookViewId="0" topLeftCell="B7">
      <pane xSplit="8670" topLeftCell="G2" activePane="topLeft" state="split"/>
      <selection pane="topLeft" activeCell="B32" sqref="B32"/>
      <selection pane="topRight" activeCell="K23" sqref="K23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9.125" style="0" hidden="1" customWidth="1"/>
    <col min="15" max="15" width="0" style="210" hidden="1" customWidth="1"/>
    <col min="16" max="18" width="0" style="0" hidden="1" customWidth="1"/>
    <col min="19" max="19" width="0" style="210" hidden="1" customWidth="1"/>
    <col min="20" max="22" width="0" style="0" hidden="1" customWidth="1"/>
    <col min="23" max="23" width="0" style="210" hidden="1" customWidth="1"/>
    <col min="24" max="26" width="0" style="0" hidden="1" customWidth="1"/>
    <col min="27" max="27" width="0" style="210" hidden="1" customWidth="1"/>
    <col min="28" max="33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1" ht="12.75">
      <c r="A2" s="1"/>
      <c r="B2" s="1"/>
      <c r="C2" s="2"/>
      <c r="D2" s="2"/>
      <c r="E2" s="2"/>
      <c r="F2" s="2"/>
      <c r="G2" s="2"/>
      <c r="H2" s="146" t="s">
        <v>172</v>
      </c>
      <c r="I2" s="146"/>
      <c r="J2" s="146"/>
      <c r="K2" s="147"/>
    </row>
    <row r="3" spans="1:11" ht="12.75">
      <c r="A3" s="1"/>
      <c r="B3" s="1"/>
      <c r="C3" s="2"/>
      <c r="D3" s="2"/>
      <c r="E3" s="2"/>
      <c r="F3" s="2"/>
      <c r="G3" s="2"/>
      <c r="H3" s="146" t="s">
        <v>173</v>
      </c>
      <c r="I3" s="146"/>
      <c r="J3" s="146"/>
      <c r="K3" s="147"/>
    </row>
    <row r="4" spans="1:11" ht="12.75">
      <c r="A4" s="1"/>
      <c r="B4" s="1"/>
      <c r="C4" s="2"/>
      <c r="D4" s="2"/>
      <c r="E4" s="2"/>
      <c r="F4" s="2"/>
      <c r="G4" s="2"/>
      <c r="H4" s="146" t="s">
        <v>174</v>
      </c>
      <c r="I4" s="146"/>
      <c r="J4" s="146"/>
      <c r="K4" s="147"/>
    </row>
    <row r="5" spans="1:11" ht="12.75">
      <c r="A5" s="1"/>
      <c r="B5" s="1"/>
      <c r="C5" s="2"/>
      <c r="D5" s="2"/>
      <c r="E5" s="2"/>
      <c r="F5" s="2"/>
      <c r="G5" s="2"/>
      <c r="H5" s="146" t="s">
        <v>175</v>
      </c>
      <c r="I5" s="146"/>
      <c r="J5" s="146"/>
      <c r="K5" s="147"/>
    </row>
    <row r="6" spans="1:11" ht="12.75">
      <c r="A6" s="1"/>
      <c r="B6" s="1"/>
      <c r="C6" s="2"/>
      <c r="D6" s="2"/>
      <c r="E6" s="2"/>
      <c r="F6" s="2"/>
      <c r="G6" s="2"/>
      <c r="H6" s="448" t="s">
        <v>235</v>
      </c>
      <c r="I6" s="448"/>
      <c r="J6" s="448"/>
      <c r="K6" s="448"/>
    </row>
    <row r="7" spans="1:11" ht="12.75">
      <c r="A7" s="1"/>
      <c r="B7" s="1"/>
      <c r="C7" s="2"/>
      <c r="D7" s="2"/>
      <c r="E7" s="2"/>
      <c r="F7" s="2"/>
      <c r="G7" s="2"/>
      <c r="H7" s="146" t="s">
        <v>210</v>
      </c>
      <c r="I7" s="146"/>
      <c r="J7" s="146"/>
      <c r="K7" s="147"/>
    </row>
    <row r="8" spans="1:11" ht="12.75">
      <c r="A8" s="1"/>
      <c r="B8" s="1"/>
      <c r="C8" s="2"/>
      <c r="D8" s="2"/>
      <c r="E8" s="2"/>
      <c r="F8" s="2"/>
      <c r="G8" s="2"/>
      <c r="H8" s="146" t="s">
        <v>211</v>
      </c>
      <c r="I8" s="146"/>
      <c r="J8" s="146"/>
      <c r="K8" s="146"/>
    </row>
    <row r="9" spans="1:11" ht="12.75">
      <c r="A9" s="1"/>
      <c r="B9" s="1"/>
      <c r="C9" s="2"/>
      <c r="D9" s="2"/>
      <c r="E9" s="2"/>
      <c r="F9" s="2"/>
      <c r="G9" s="2"/>
      <c r="H9" s="146" t="s">
        <v>212</v>
      </c>
      <c r="I9" s="146"/>
      <c r="J9" s="146"/>
      <c r="K9" s="147"/>
    </row>
    <row r="10" spans="1:11" ht="12.75">
      <c r="A10" s="1"/>
      <c r="B10" s="1"/>
      <c r="C10" s="2"/>
      <c r="D10" s="2"/>
      <c r="E10" s="2"/>
      <c r="F10" s="2"/>
      <c r="G10" s="2"/>
      <c r="H10" s="146" t="s">
        <v>213</v>
      </c>
      <c r="I10" s="146"/>
      <c r="J10" s="146"/>
      <c r="K10" s="146"/>
    </row>
    <row r="11" spans="1:11" ht="12.75">
      <c r="A11" s="430" t="s">
        <v>231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1"/>
      <c r="K16" s="168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11"/>
      <c r="AB16" s="176"/>
      <c r="AC16" s="176"/>
      <c r="AD16" s="177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3"/>
      <c r="K17" s="169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12"/>
      <c r="AB17" s="179"/>
      <c r="AC17" s="179"/>
      <c r="AD17" s="180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3"/>
      <c r="K18" s="170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12"/>
      <c r="AB18" s="179"/>
      <c r="AC18" s="179"/>
      <c r="AD18" s="180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3"/>
      <c r="K19" s="170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12"/>
      <c r="AB19" s="179"/>
      <c r="AC19" s="179"/>
      <c r="AD19" s="180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5"/>
      <c r="K20" s="169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13"/>
      <c r="AB20" s="182"/>
      <c r="AC20" s="182"/>
      <c r="AD20" s="183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7"/>
      <c r="K21" s="171">
        <v>4</v>
      </c>
      <c r="O21" s="258">
        <v>5</v>
      </c>
      <c r="P21" s="230">
        <v>6</v>
      </c>
      <c r="Q21" s="230">
        <v>7</v>
      </c>
      <c r="R21" s="230">
        <v>8</v>
      </c>
      <c r="S21" s="258">
        <v>9</v>
      </c>
      <c r="T21" s="230">
        <v>10</v>
      </c>
      <c r="U21" s="230">
        <v>11</v>
      </c>
      <c r="V21" s="230">
        <v>12</v>
      </c>
      <c r="W21" s="258">
        <v>13</v>
      </c>
      <c r="X21" s="230">
        <v>14</v>
      </c>
      <c r="Y21" s="230">
        <v>15</v>
      </c>
      <c r="Z21" s="230">
        <v>16</v>
      </c>
      <c r="AA21" s="258">
        <v>17</v>
      </c>
      <c r="AB21" s="230">
        <v>18</v>
      </c>
      <c r="AC21" s="230">
        <v>19</v>
      </c>
      <c r="AD21" s="230">
        <v>20</v>
      </c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3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148" t="s">
        <v>14</v>
      </c>
      <c r="K23" s="172">
        <f>'район для расчетов (не печатать'!K23+'Свод по посел.'!K23</f>
        <v>57530.4</v>
      </c>
      <c r="L23">
        <v>11399</v>
      </c>
      <c r="M23">
        <f>K23+L23</f>
        <v>68929.4</v>
      </c>
      <c r="O23" s="214">
        <f>'район для расчетов (не печатать'!O23+'Свод по посел.'!L23</f>
        <v>8916.5</v>
      </c>
      <c r="P23" s="184">
        <f>'район для расчетов (не печатать'!P23+'Свод по посел.'!P23</f>
        <v>2653</v>
      </c>
      <c r="Q23" s="184">
        <f>'район для расчетов (не печатать'!Q23+'Свод по посел.'!Q23</f>
        <v>3142</v>
      </c>
      <c r="R23" s="184">
        <f>'район для расчетов (не печатать'!R23+'Свод по посел.'!R23</f>
        <v>3104</v>
      </c>
      <c r="S23" s="214">
        <f>'район для расчетов (не печатать'!S23+'Свод по посел.'!S23</f>
        <v>9275</v>
      </c>
      <c r="T23" s="184">
        <f>'район для расчетов (не печатать'!T23+'Свод по посел.'!T23</f>
        <v>3682</v>
      </c>
      <c r="U23" s="184">
        <f>'район для расчетов (не печатать'!U23+'Свод по посел.'!U23</f>
        <v>2771</v>
      </c>
      <c r="V23" s="184">
        <f>'район для расчетов (не печатать'!V23+'Свод по посел.'!V23</f>
        <v>2822</v>
      </c>
      <c r="W23" s="214">
        <f>'район для расчетов (не печатать'!W23+'Свод по посел.'!W23</f>
        <v>12952</v>
      </c>
      <c r="X23" s="184">
        <f>'район для расчетов (не печатать'!X23+'Свод по посел.'!X23</f>
        <v>4869.5</v>
      </c>
      <c r="Y23" s="184">
        <f>'район для расчетов (не печатать'!Y23+'Свод по посел.'!Y23</f>
        <v>3941</v>
      </c>
      <c r="Z23" s="184">
        <f>'район для расчетов (не печатать'!Z23+'Свод по посел.'!Z23</f>
        <v>3931.5</v>
      </c>
      <c r="AA23" s="214">
        <f>'район для расчетов (не печатать'!AA23+'Свод по посел.'!AA23</f>
        <v>15957</v>
      </c>
      <c r="AB23" s="184">
        <f>'район для расчетов (не печатать'!AB23+'Свод по посел.'!AB23</f>
        <v>4881</v>
      </c>
      <c r="AC23" s="184">
        <f>'район для расчетов (не печатать'!AC23+'Свод по посел.'!AC23</f>
        <v>5425.5</v>
      </c>
      <c r="AD23" s="184">
        <f>'район для расчетов (не печатать'!AD23+'Свод по посел.'!AD23</f>
        <v>5391.5</v>
      </c>
      <c r="AE23" s="179">
        <f>O23+S23+W23+AA23</f>
        <v>47100.5</v>
      </c>
      <c r="AF23" s="179">
        <f>O23+S23+W23+AA23</f>
        <v>47100.5</v>
      </c>
      <c r="AG23" s="179"/>
    </row>
    <row r="24" spans="1:31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149" t="s">
        <v>14</v>
      </c>
      <c r="K24" s="172">
        <f>'район для расчетов (не печатать'!K24+'Свод по посел.'!K24</f>
        <v>42060.2</v>
      </c>
      <c r="O24" s="214">
        <f>'район для расчетов (не печатать'!O24+'Свод по посел.'!L24</f>
        <v>5968.5</v>
      </c>
      <c r="P24" s="184">
        <f>'район для расчетов (не печатать'!P24+'Свод по посел.'!P24</f>
        <v>1186</v>
      </c>
      <c r="Q24" s="184">
        <f>'район для расчетов (не печатать'!Q24+'Свод по посел.'!Q24</f>
        <v>2381</v>
      </c>
      <c r="R24" s="184">
        <f>'район для расчетов (не печатать'!R24+'Свод по посел.'!R24</f>
        <v>2384</v>
      </c>
      <c r="S24" s="214">
        <f>'район для расчетов (не печатать'!S24+'Свод по посел.'!S24</f>
        <v>5956</v>
      </c>
      <c r="T24" s="184">
        <f>'район для расчетов (не печатать'!T24+'Свод по посел.'!T24</f>
        <v>1962</v>
      </c>
      <c r="U24" s="184">
        <f>'район для расчетов (не печатать'!U24+'Свод по посел.'!U24</f>
        <v>1991</v>
      </c>
      <c r="V24" s="184">
        <f>'район для расчетов (не печатать'!V24+'Свод по посел.'!V24</f>
        <v>2003</v>
      </c>
      <c r="W24" s="214">
        <f>'район для расчетов (не печатать'!W24+'Свод по посел.'!W24</f>
        <v>9356</v>
      </c>
      <c r="X24" s="184">
        <f>'район для расчетов (не печатать'!X24+'Свод по посел.'!X24</f>
        <v>3096</v>
      </c>
      <c r="Y24" s="184">
        <f>'район для расчетов (не печатать'!Y24+'Свод по посел.'!Y24</f>
        <v>3126</v>
      </c>
      <c r="Z24" s="184">
        <f>'район для расчетов (не печатать'!Z24+'Свод по посел.'!Z24</f>
        <v>3134</v>
      </c>
      <c r="AA24" s="214">
        <f>'район для расчетов (не печатать'!AA24+'Свод по посел.'!AA24</f>
        <v>11945</v>
      </c>
      <c r="AB24" s="184">
        <f>'район для расчетов (не печатать'!AB24+'Свод по посел.'!AB24</f>
        <v>3096</v>
      </c>
      <c r="AC24" s="184">
        <f>'район для расчетов (не печатать'!AC24+'Свод по посел.'!AC24</f>
        <v>4415</v>
      </c>
      <c r="AD24" s="184">
        <f>'район для расчетов (не печатать'!AD24+'Свод по посел.'!AD24</f>
        <v>4515</v>
      </c>
      <c r="AE24" s="179">
        <f aca="true" t="shared" si="0" ref="AE24:AE87">O24+S24+W24+AA24</f>
        <v>33225.5</v>
      </c>
    </row>
    <row r="25" spans="1:31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149" t="s">
        <v>24</v>
      </c>
      <c r="K25" s="303">
        <f>'район для расчетов (не печатать'!K25+'Свод по посел.'!K25</f>
        <v>42060.2</v>
      </c>
      <c r="O25" s="214">
        <f>'район для расчетов (не печатать'!O25+'Свод по посел.'!L25</f>
        <v>5968.5</v>
      </c>
      <c r="P25" s="184">
        <f>'район для расчетов (не печатать'!P25+'Свод по посел.'!P25</f>
        <v>1186</v>
      </c>
      <c r="Q25" s="184">
        <f>'район для расчетов (не печатать'!Q25+'Свод по посел.'!Q25</f>
        <v>2381</v>
      </c>
      <c r="R25" s="184">
        <f>'район для расчетов (не печатать'!R25+'Свод по посел.'!R25</f>
        <v>2384</v>
      </c>
      <c r="S25" s="214">
        <f>'район для расчетов (не печатать'!S25+'Свод по посел.'!S25</f>
        <v>5956</v>
      </c>
      <c r="T25" s="184">
        <f>'район для расчетов (не печатать'!T25+'Свод по посел.'!T25</f>
        <v>1962</v>
      </c>
      <c r="U25" s="184">
        <f>'район для расчетов (не печатать'!U25+'Свод по посел.'!U25</f>
        <v>1991</v>
      </c>
      <c r="V25" s="184">
        <f>'район для расчетов (не печатать'!V25+'Свод по посел.'!V25</f>
        <v>2003</v>
      </c>
      <c r="W25" s="214">
        <f>'район для расчетов (не печатать'!W25+'Свод по посел.'!W25</f>
        <v>9356</v>
      </c>
      <c r="X25" s="184">
        <f>'район для расчетов (не печатать'!X25+'Свод по посел.'!X25</f>
        <v>3096</v>
      </c>
      <c r="Y25" s="184">
        <f>'район для расчетов (не печатать'!Y25+'Свод по посел.'!Y25</f>
        <v>3126</v>
      </c>
      <c r="Z25" s="184">
        <f>'район для расчетов (не печатать'!Z25+'Свод по посел.'!Z25</f>
        <v>3134</v>
      </c>
      <c r="AA25" s="214">
        <f>'район для расчетов (не печатать'!AA25+'Свод по посел.'!AA25</f>
        <v>11945</v>
      </c>
      <c r="AB25" s="184">
        <f>'район для расчетов (не печатать'!AB25+'Свод по посел.'!AB25</f>
        <v>3096</v>
      </c>
      <c r="AC25" s="184">
        <f>'район для расчетов (не печатать'!AC25+'Свод по посел.'!AC25</f>
        <v>4415</v>
      </c>
      <c r="AD25" s="184">
        <f>'район для расчетов (не печатать'!AD25+'Свод по посел.'!AD25</f>
        <v>4515</v>
      </c>
      <c r="AE25" s="179">
        <f t="shared" si="0"/>
        <v>33225.5</v>
      </c>
    </row>
    <row r="26" spans="1:31" ht="24.75" customHeight="1" hidden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150" t="s">
        <v>24</v>
      </c>
      <c r="K26" s="172">
        <f>'район для расчетов (не печатать'!K26+'Свод по посел.'!K26</f>
        <v>0</v>
      </c>
      <c r="O26" s="214">
        <f>'район для расчетов (не печатать'!O26+'Свод по посел.'!L26</f>
        <v>0</v>
      </c>
      <c r="P26" s="184">
        <f>'район для расчетов (не печатать'!P26+'Свод по посел.'!P26</f>
        <v>0</v>
      </c>
      <c r="Q26" s="184">
        <f>'район для расчетов (не печатать'!Q26+'Свод по посел.'!Q26</f>
        <v>0</v>
      </c>
      <c r="R26" s="184">
        <f>'район для расчетов (не печатать'!R26+'Свод по посел.'!R26</f>
        <v>0</v>
      </c>
      <c r="S26" s="214">
        <f>'район для расчетов (не печатать'!S26+'Свод по посел.'!S26</f>
        <v>0</v>
      </c>
      <c r="T26" s="184">
        <f>'район для расчетов (не печатать'!T26+'Свод по посел.'!T26</f>
        <v>0</v>
      </c>
      <c r="U26" s="184">
        <f>'район для расчетов (не печатать'!U26+'Свод по посел.'!U26</f>
        <v>0</v>
      </c>
      <c r="V26" s="184">
        <f>'район для расчетов (не печатать'!V26+'Свод по посел.'!V26</f>
        <v>0</v>
      </c>
      <c r="W26" s="214">
        <f>'район для расчетов (не печатать'!W26+'Свод по посел.'!W26</f>
        <v>0</v>
      </c>
      <c r="X26" s="184">
        <f>'район для расчетов (не печатать'!X26+'Свод по посел.'!X26</f>
        <v>0</v>
      </c>
      <c r="Y26" s="184">
        <f>'район для расчетов (не печатать'!Y26+'Свод по посел.'!Y26</f>
        <v>0</v>
      </c>
      <c r="Z26" s="184">
        <f>'район для расчетов (не печатать'!Z26+'Свод по посел.'!Z26</f>
        <v>0</v>
      </c>
      <c r="AA26" s="214">
        <f>'район для расчетов (не печатать'!AA26+'Свод по посел.'!AA26</f>
        <v>0</v>
      </c>
      <c r="AB26" s="184">
        <f>'район для расчетов (не печатать'!AB26+'Свод по посел.'!AB26</f>
        <v>0</v>
      </c>
      <c r="AC26" s="184">
        <f>'район для расчетов (не печатать'!AC26+'Свод по посел.'!AC26</f>
        <v>0</v>
      </c>
      <c r="AD26" s="184">
        <f>'район для расчетов (не печатать'!AD26+'Свод по посел.'!AD26</f>
        <v>0</v>
      </c>
      <c r="AE26" s="179">
        <f t="shared" si="0"/>
        <v>0</v>
      </c>
    </row>
    <row r="27" spans="1:31" ht="24.75" customHeight="1" hidden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150" t="s">
        <v>24</v>
      </c>
      <c r="K27" s="172">
        <f>'район для расчетов (не печатать'!K27+'Свод по посел.'!K27</f>
        <v>41990.2</v>
      </c>
      <c r="O27" s="214">
        <f>'район для расчетов (не печатать'!O27+'Свод по посел.'!L27</f>
        <v>5951</v>
      </c>
      <c r="P27" s="184">
        <f>'район для расчетов (не печатать'!P27+'Свод по посел.'!P27</f>
        <v>1186</v>
      </c>
      <c r="Q27" s="184">
        <f>'район для расчетов (не печатать'!Q27+'Свод по посел.'!Q27</f>
        <v>2381</v>
      </c>
      <c r="R27" s="184">
        <f>'район для расчетов (не печатать'!R27+'Свод по посел.'!R27</f>
        <v>2384</v>
      </c>
      <c r="S27" s="214">
        <f>'район для расчетов (не печатать'!S27+'Свод по посел.'!S27</f>
        <v>5956</v>
      </c>
      <c r="T27" s="184">
        <f>'район для расчетов (не печатать'!T27+'Свод по посел.'!T27</f>
        <v>1962</v>
      </c>
      <c r="U27" s="184">
        <f>'район для расчетов (не печатать'!U27+'Свод по посел.'!U27</f>
        <v>1991</v>
      </c>
      <c r="V27" s="184">
        <f>'район для расчетов (не печатать'!V27+'Свод по посел.'!V27</f>
        <v>2003</v>
      </c>
      <c r="W27" s="214">
        <f>'район для расчетов (не печатать'!W27+'Свод по посел.'!W27</f>
        <v>9356</v>
      </c>
      <c r="X27" s="184">
        <f>'район для расчетов (не печатать'!X27+'Свод по посел.'!X27</f>
        <v>3096</v>
      </c>
      <c r="Y27" s="184">
        <f>'район для расчетов (не печатать'!Y27+'Свод по посел.'!Y27</f>
        <v>3126</v>
      </c>
      <c r="Z27" s="184">
        <f>'район для расчетов (не печатать'!Z27+'Свод по посел.'!Z27</f>
        <v>3134</v>
      </c>
      <c r="AA27" s="214">
        <f>'район для расчетов (не печатать'!AA27+'Свод по посел.'!AA27</f>
        <v>11945</v>
      </c>
      <c r="AB27" s="184">
        <f>'район для расчетов (не печатать'!AB27+'Свод по посел.'!AB27</f>
        <v>3096</v>
      </c>
      <c r="AC27" s="184">
        <f>'район для расчетов (не печатать'!AC27+'Свод по посел.'!AC27</f>
        <v>4415</v>
      </c>
      <c r="AD27" s="184">
        <f>'район для расчетов (не печатать'!AD27+'Свод по посел.'!AD27</f>
        <v>4515</v>
      </c>
      <c r="AE27" s="179">
        <f t="shared" si="0"/>
        <v>33208</v>
      </c>
    </row>
    <row r="28" spans="1:31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150" t="s">
        <v>24</v>
      </c>
      <c r="K28" s="172">
        <f>'район для расчетов (не печатать'!K28+'Свод по посел.'!K28</f>
        <v>41910.2</v>
      </c>
      <c r="O28" s="214">
        <f>'район для расчетов (не печатать'!O28+'Свод по посел.'!L28</f>
        <v>5931</v>
      </c>
      <c r="P28" s="184">
        <f>'район для расчетов (не печатать'!P28+'Свод по посел.'!P28</f>
        <v>1182</v>
      </c>
      <c r="Q28" s="184">
        <f>'район для расчетов (не печатать'!Q28+'Свод по посел.'!Q28</f>
        <v>2373</v>
      </c>
      <c r="R28" s="184">
        <f>'район для расчетов (не печатать'!R28+'Свод по посел.'!R28</f>
        <v>2376</v>
      </c>
      <c r="S28" s="214">
        <f>'район для расчетов (не печатать'!S28+'Свод по посел.'!S28</f>
        <v>5936</v>
      </c>
      <c r="T28" s="184">
        <f>'район для расчетов (не печатать'!T28+'Свод по посел.'!T28</f>
        <v>1956</v>
      </c>
      <c r="U28" s="184">
        <f>'район для расчетов (не печатать'!U28+'Свод по посел.'!U28</f>
        <v>1985</v>
      </c>
      <c r="V28" s="184">
        <f>'район для расчетов (не печатать'!V28+'Свод по посел.'!V28</f>
        <v>1995</v>
      </c>
      <c r="W28" s="214">
        <f>'район для расчетов (не печатать'!W28+'Свод по посел.'!W28</f>
        <v>9336</v>
      </c>
      <c r="X28" s="184">
        <f>'район для расчетов (не печатать'!X28+'Свод по посел.'!X28</f>
        <v>3090</v>
      </c>
      <c r="Y28" s="184">
        <f>'район для расчетов (не печатать'!Y28+'Свод по посел.'!Y28</f>
        <v>3120</v>
      </c>
      <c r="Z28" s="184">
        <f>'район для расчетов (не печатать'!Z28+'Свод по посел.'!Z28</f>
        <v>3126</v>
      </c>
      <c r="AA28" s="214">
        <f>'район для расчетов (не печатать'!AA28+'Свод по посел.'!AA28</f>
        <v>11925</v>
      </c>
      <c r="AB28" s="184">
        <f>'район для расчетов (не печатать'!AB28+'Свод по посел.'!AB28</f>
        <v>3090</v>
      </c>
      <c r="AC28" s="184">
        <f>'район для расчетов (не печатать'!AC28+'Свод по посел.'!AC28</f>
        <v>4409</v>
      </c>
      <c r="AD28" s="184">
        <f>'район для расчетов (не печатать'!AD28+'Свод по посел.'!AD28</f>
        <v>4507</v>
      </c>
      <c r="AE28" s="179">
        <f t="shared" si="0"/>
        <v>33128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150" t="s">
        <v>24</v>
      </c>
      <c r="K29" s="172">
        <f>'район для расчетов (не печатать'!K29+'Свод по посел.'!K29</f>
        <v>150</v>
      </c>
      <c r="O29" s="214">
        <f>'район для расчетов (не печатать'!O29+'Свод по посел.'!L29</f>
        <v>37.5</v>
      </c>
      <c r="P29" s="184">
        <f>'район для расчетов (не печатать'!P29+'Свод по посел.'!P29</f>
        <v>4</v>
      </c>
      <c r="Q29" s="184">
        <f>'район для расчетов (не печатать'!Q29+'Свод по посел.'!Q29</f>
        <v>8</v>
      </c>
      <c r="R29" s="184">
        <f>'район для расчетов (не печатать'!R29+'Свод по посел.'!R29</f>
        <v>8</v>
      </c>
      <c r="S29" s="214">
        <f>'район для расчетов (не печатать'!S29+'Свод по посел.'!S29</f>
        <v>20</v>
      </c>
      <c r="T29" s="184">
        <f>'район для расчетов (не печатать'!T29+'Свод по посел.'!T29</f>
        <v>6</v>
      </c>
      <c r="U29" s="184">
        <f>'район для расчетов (не печатать'!U29+'Свод по посел.'!U29</f>
        <v>6</v>
      </c>
      <c r="V29" s="184">
        <f>'район для расчетов (не печатать'!V29+'Свод по посел.'!V29</f>
        <v>8</v>
      </c>
      <c r="W29" s="214">
        <f>'район для расчетов (не печатать'!W29+'Свод по посел.'!W29</f>
        <v>20</v>
      </c>
      <c r="X29" s="184">
        <f>'район для расчетов (не печатать'!X29+'Свод по посел.'!X29</f>
        <v>6</v>
      </c>
      <c r="Y29" s="184">
        <f>'район для расчетов (не печатать'!Y29+'Свод по посел.'!Y29</f>
        <v>6</v>
      </c>
      <c r="Z29" s="184">
        <f>'район для расчетов (не печатать'!Z29+'Свод по посел.'!Z29</f>
        <v>8</v>
      </c>
      <c r="AA29" s="214">
        <f>'район для расчетов (не печатать'!AA29+'Свод по посел.'!AA29</f>
        <v>20</v>
      </c>
      <c r="AB29" s="184">
        <f>'район для расчетов (не печатать'!AB29+'Свод по посел.'!AB29</f>
        <v>6</v>
      </c>
      <c r="AC29" s="184">
        <f>'район для расчетов (не печатать'!AC29+'Свод по посел.'!AC29</f>
        <v>6</v>
      </c>
      <c r="AD29" s="184">
        <f>'район для расчетов (не печатать'!AD29+'Свод по посел.'!AD29</f>
        <v>8</v>
      </c>
      <c r="AE29" s="179">
        <f t="shared" si="0"/>
        <v>97.5</v>
      </c>
    </row>
    <row r="30" spans="1:31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150" t="s">
        <v>24</v>
      </c>
      <c r="K30" s="172">
        <f>'район для расчетов (не печатать'!K30+'Свод по посел.'!K30</f>
        <v>0</v>
      </c>
      <c r="O30" s="214">
        <f>'район для расчетов (не печатать'!O30+'Свод по посел.'!L30</f>
        <v>0</v>
      </c>
      <c r="P30" s="184">
        <f>'район для расчетов (не печатать'!P30+'Свод по посел.'!P30</f>
        <v>0</v>
      </c>
      <c r="Q30" s="184">
        <f>'район для расчетов (не печатать'!Q30+'Свод по посел.'!Q30</f>
        <v>0</v>
      </c>
      <c r="R30" s="184">
        <f>'район для расчетов (не печатать'!R30+'Свод по посел.'!R30</f>
        <v>0</v>
      </c>
      <c r="S30" s="214">
        <f>'район для расчетов (не печатать'!S30+'Свод по посел.'!S30</f>
        <v>0</v>
      </c>
      <c r="T30" s="184">
        <f>'район для расчетов (не печатать'!T30+'Свод по посел.'!T30</f>
        <v>0</v>
      </c>
      <c r="U30" s="184">
        <f>'район для расчетов (не печатать'!U30+'Свод по посел.'!U30</f>
        <v>0</v>
      </c>
      <c r="V30" s="184">
        <f>'район для расчетов (не печатать'!V30+'Свод по посел.'!V30</f>
        <v>0</v>
      </c>
      <c r="W30" s="214">
        <f>'район для расчетов (не печатать'!W30+'Свод по посел.'!W30</f>
        <v>0</v>
      </c>
      <c r="X30" s="184">
        <f>'район для расчетов (не печатать'!X30+'Свод по посел.'!X30</f>
        <v>0</v>
      </c>
      <c r="Y30" s="184">
        <f>'район для расчетов (не печатать'!Y30+'Свод по посел.'!Y30</f>
        <v>0</v>
      </c>
      <c r="Z30" s="184">
        <f>'район для расчетов (не печатать'!Z30+'Свод по посел.'!Z30</f>
        <v>0</v>
      </c>
      <c r="AA30" s="214">
        <f>'район для расчетов (не печатать'!AA30+'Свод по посел.'!AA30</f>
        <v>0</v>
      </c>
      <c r="AB30" s="184">
        <f>'район для расчетов (не печатать'!AB30+'Свод по посел.'!AB30</f>
        <v>0</v>
      </c>
      <c r="AC30" s="184">
        <f>'район для расчетов (не печатать'!AC30+'Свод по посел.'!AC30</f>
        <v>0</v>
      </c>
      <c r="AD30" s="184">
        <f>'район для расчетов (не печатать'!AD30+'Свод по посел.'!AD30</f>
        <v>0</v>
      </c>
      <c r="AE30" s="179">
        <f t="shared" si="0"/>
        <v>0</v>
      </c>
    </row>
    <row r="31" spans="1:31" ht="13.5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148" t="s">
        <v>14</v>
      </c>
      <c r="K31" s="303">
        <f>K32+K34</f>
        <v>7000</v>
      </c>
      <c r="L31" s="172">
        <f aca="true" t="shared" si="1" ref="L31:AA31">L32+L34</f>
        <v>0</v>
      </c>
      <c r="M31" s="172">
        <f t="shared" si="1"/>
        <v>0</v>
      </c>
      <c r="N31" s="172">
        <f t="shared" si="1"/>
        <v>0</v>
      </c>
      <c r="O31" s="259">
        <f t="shared" si="1"/>
        <v>1700</v>
      </c>
      <c r="P31" s="259">
        <f t="shared" si="1"/>
        <v>1190</v>
      </c>
      <c r="Q31" s="259">
        <f t="shared" si="1"/>
        <v>340</v>
      </c>
      <c r="R31" s="259">
        <f t="shared" si="1"/>
        <v>170</v>
      </c>
      <c r="S31" s="259">
        <f t="shared" si="1"/>
        <v>1700</v>
      </c>
      <c r="T31" s="259">
        <f t="shared" si="1"/>
        <v>1190</v>
      </c>
      <c r="U31" s="259">
        <f t="shared" si="1"/>
        <v>340</v>
      </c>
      <c r="V31" s="259">
        <f t="shared" si="1"/>
        <v>170</v>
      </c>
      <c r="W31" s="259">
        <f t="shared" si="1"/>
        <v>1830</v>
      </c>
      <c r="X31" s="259">
        <f t="shared" si="1"/>
        <v>1320</v>
      </c>
      <c r="Y31" s="259">
        <f t="shared" si="1"/>
        <v>340</v>
      </c>
      <c r="Z31" s="259">
        <f t="shared" si="1"/>
        <v>170</v>
      </c>
      <c r="AA31" s="259">
        <f t="shared" si="1"/>
        <v>1770</v>
      </c>
      <c r="AB31" s="184">
        <f>'район для расчетов (не печатать'!AB31+'Свод по посел.'!AB31</f>
        <v>1213</v>
      </c>
      <c r="AC31" s="184">
        <f>'район для расчетов (не печатать'!AC31+'Свод по посел.'!AC31</f>
        <v>363</v>
      </c>
      <c r="AD31" s="184">
        <f>'район для расчетов (не печатать'!AD31+'Свод по посел.'!AD31</f>
        <v>194</v>
      </c>
      <c r="AE31" s="179">
        <f t="shared" si="0"/>
        <v>7000</v>
      </c>
    </row>
    <row r="32" spans="1:31" ht="13.5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150" t="s">
        <v>24</v>
      </c>
      <c r="K32" s="172">
        <f>'район для расчетов (не печатать'!K32+'Свод по посел.'!K32</f>
        <v>6800</v>
      </c>
      <c r="O32" s="214">
        <f>'район для расчетов (не печатать'!O32+'Свод по посел.'!L32</f>
        <v>1700</v>
      </c>
      <c r="P32" s="184">
        <f>'район для расчетов (не печатать'!P32+'Свод по посел.'!P32</f>
        <v>1190</v>
      </c>
      <c r="Q32" s="184">
        <f>'район для расчетов (не печатать'!Q32+'Свод по посел.'!Q32</f>
        <v>340</v>
      </c>
      <c r="R32" s="184">
        <f>'район для расчетов (не печатать'!R32+'Свод по посел.'!R32</f>
        <v>170</v>
      </c>
      <c r="S32" s="214">
        <f>'район для расчетов (не печатать'!S32+'Свод по посел.'!S32</f>
        <v>1700</v>
      </c>
      <c r="T32" s="184">
        <f>'район для расчетов (не печатать'!T32+'Свод по посел.'!T32</f>
        <v>1190</v>
      </c>
      <c r="U32" s="184">
        <f>'район для расчетов (не печатать'!U32+'Свод по посел.'!U32</f>
        <v>340</v>
      </c>
      <c r="V32" s="184">
        <f>'район для расчетов (не печатать'!V32+'Свод по посел.'!V32</f>
        <v>170</v>
      </c>
      <c r="W32" s="214">
        <f>'район для расчетов (не печатать'!W32+'Свод по посел.'!W32</f>
        <v>1700</v>
      </c>
      <c r="X32" s="184">
        <f>'район для расчетов (не печатать'!X32+'Свод по посел.'!X32</f>
        <v>1190</v>
      </c>
      <c r="Y32" s="184">
        <f>'район для расчетов (не печатать'!Y32+'Свод по посел.'!Y32</f>
        <v>340</v>
      </c>
      <c r="Z32" s="184">
        <f>'район для расчетов (не печатать'!Z32+'Свод по посел.'!Z32</f>
        <v>170</v>
      </c>
      <c r="AA32" s="214">
        <f>'район для расчетов (не печатать'!AA32+'Свод по посел.'!AA32</f>
        <v>1700</v>
      </c>
      <c r="AB32" s="184">
        <f>'район для расчетов (не печатать'!AB32+'Свод по посел.'!AB32</f>
        <v>1190</v>
      </c>
      <c r="AC32" s="184">
        <f>'район для расчетов (не печатать'!AC32+'Свод по посел.'!AC32</f>
        <v>340</v>
      </c>
      <c r="AD32" s="184">
        <f>'район для расчетов (не печатать'!AD32+'Свод по посел.'!AD32</f>
        <v>170</v>
      </c>
      <c r="AE32" s="179">
        <f t="shared" si="0"/>
        <v>6800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151" t="s">
        <v>24</v>
      </c>
      <c r="K33" s="172">
        <f>'район для расчетов (не печатать'!K33+'Свод по посел.'!K33</f>
        <v>0.7</v>
      </c>
      <c r="O33" s="214">
        <f>'район для расчетов (не печатать'!O33+'Свод по посел.'!L33</f>
        <v>0</v>
      </c>
      <c r="P33" s="184">
        <f>'район для расчетов (не печатать'!P33+'Свод по посел.'!P33</f>
        <v>0</v>
      </c>
      <c r="Q33" s="184">
        <f>'район для расчетов (не печатать'!Q33+'Свод по посел.'!Q33</f>
        <v>0</v>
      </c>
      <c r="R33" s="184">
        <f>'район для расчетов (не печатать'!R33+'Свод по посел.'!R33</f>
        <v>0</v>
      </c>
      <c r="S33" s="214">
        <f>'район для расчетов (не печатать'!S33+'Свод по посел.'!S33</f>
        <v>0</v>
      </c>
      <c r="T33" s="184">
        <f>'район для расчетов (не печатать'!T33+'Свод по посел.'!T33</f>
        <v>0</v>
      </c>
      <c r="U33" s="184">
        <f>'район для расчетов (не печатать'!U33+'Свод по посел.'!U33</f>
        <v>0</v>
      </c>
      <c r="V33" s="184">
        <f>'район для расчетов (не печатать'!V33+'Свод по посел.'!V33</f>
        <v>0</v>
      </c>
      <c r="W33" s="214">
        <f>'район для расчетов (не печатать'!W33+'Свод по посел.'!W33</f>
        <v>0</v>
      </c>
      <c r="X33" s="184">
        <f>'район для расчетов (не печатать'!X33+'Свод по посел.'!X33</f>
        <v>0</v>
      </c>
      <c r="Y33" s="184">
        <f>'район для расчетов (не печатать'!Y33+'Свод по посел.'!Y33</f>
        <v>0</v>
      </c>
      <c r="Z33" s="184">
        <f>'район для расчетов (не печатать'!Z33+'Свод по посел.'!Z33</f>
        <v>0</v>
      </c>
      <c r="AA33" s="214">
        <f>'район для расчетов (не печатать'!AA33+'Свод по посел.'!AA33</f>
        <v>0</v>
      </c>
      <c r="AB33" s="184">
        <f>'район для расчетов (не печатать'!AB33+'Свод по посел.'!AB33</f>
        <v>0</v>
      </c>
      <c r="AC33" s="184">
        <f>'район для расчетов (не печатать'!AC33+'Свод по посел.'!AC33</f>
        <v>0</v>
      </c>
      <c r="AD33" s="184">
        <f>'район для расчетов (не печатать'!AD33+'Свод по посел.'!AD33</f>
        <v>0</v>
      </c>
      <c r="AE33" s="179">
        <f t="shared" si="0"/>
        <v>0</v>
      </c>
    </row>
    <row r="34" spans="1:31" ht="13.5" thickBot="1">
      <c r="A34" s="271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8" t="s">
        <v>24</v>
      </c>
      <c r="K34" s="273">
        <v>200</v>
      </c>
      <c r="L34" s="111"/>
      <c r="N34" s="104"/>
      <c r="O34" s="232"/>
      <c r="P34" s="181"/>
      <c r="Q34" s="181"/>
      <c r="R34" s="181"/>
      <c r="S34" s="232"/>
      <c r="T34" s="181"/>
      <c r="U34" s="181"/>
      <c r="V34" s="181"/>
      <c r="W34" s="232">
        <v>130</v>
      </c>
      <c r="X34" s="181">
        <v>130</v>
      </c>
      <c r="Y34" s="181"/>
      <c r="Z34" s="181"/>
      <c r="AA34" s="232">
        <v>70</v>
      </c>
      <c r="AB34" s="184">
        <v>23</v>
      </c>
      <c r="AC34" s="184">
        <v>23</v>
      </c>
      <c r="AD34" s="184">
        <v>24</v>
      </c>
      <c r="AE34" s="179">
        <f t="shared" si="0"/>
        <v>200</v>
      </c>
    </row>
    <row r="35" spans="1:31" ht="13.5" thickBot="1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148" t="s">
        <v>14</v>
      </c>
      <c r="K35" s="303">
        <f>'район для расчетов (не печатать'!K35+'Свод по посел.'!K34</f>
        <v>1396.5</v>
      </c>
      <c r="O35" s="214">
        <f>'район для расчетов (не печатать'!O35+'Свод по посел.'!L34</f>
        <v>0</v>
      </c>
      <c r="P35" s="184">
        <f>'район для расчетов (не печатать'!P35+'Свод по посел.'!P34</f>
        <v>0</v>
      </c>
      <c r="Q35" s="184">
        <f>'район для расчетов (не печатать'!Q35+'Свод по посел.'!Q34</f>
        <v>0</v>
      </c>
      <c r="R35" s="184">
        <f>'район для расчетов (не печатать'!R35+'Свод по посел.'!R34</f>
        <v>0</v>
      </c>
      <c r="S35" s="214">
        <f>'район для расчетов (не печатать'!S35+'Свод по посел.'!S34</f>
        <v>30</v>
      </c>
      <c r="T35" s="184">
        <f>'район для расчетов (не печатать'!T35+'Свод по посел.'!T34</f>
        <v>30</v>
      </c>
      <c r="U35" s="184">
        <f>'район для расчетов (не печатать'!U35+'Свод по посел.'!U34</f>
        <v>0</v>
      </c>
      <c r="V35" s="184">
        <f>'район для расчетов (не печатать'!V35+'Свод по посел.'!V34</f>
        <v>0</v>
      </c>
      <c r="W35" s="214">
        <f>'район для расчетов (не печатать'!W35+'Свод по посел.'!W34</f>
        <v>88</v>
      </c>
      <c r="X35" s="184">
        <f>'район для расчетов (не печатать'!X35+'Свод по посел.'!X34</f>
        <v>1</v>
      </c>
      <c r="Y35" s="184">
        <f>'район для расчетов (не печатать'!Y35+'Свод по посел.'!Y34</f>
        <v>8</v>
      </c>
      <c r="Z35" s="184">
        <f>'район для расчетов (не печатать'!Z35+'Свод по посел.'!Z34</f>
        <v>79</v>
      </c>
      <c r="AA35" s="214">
        <f>'район для расчетов (не печатать'!AA35+'Свод по посел.'!AA34</f>
        <v>107</v>
      </c>
      <c r="AB35" s="184">
        <f>'район для расчетов (не печатать'!AB35+'Свод по посел.'!AB34</f>
        <v>12</v>
      </c>
      <c r="AC35" s="184">
        <f>'район для расчетов (не печатать'!AC35+'Свод по посел.'!AC34</f>
        <v>67.5</v>
      </c>
      <c r="AD35" s="184">
        <f>'район для расчетов (не печатать'!AD35+'Свод по посел.'!AD34</f>
        <v>27.5</v>
      </c>
      <c r="AE35" s="302">
        <f t="shared" si="0"/>
        <v>225</v>
      </c>
    </row>
    <row r="36" spans="1:31" ht="13.5" thickBot="1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150" t="s">
        <v>24</v>
      </c>
      <c r="K36" s="172">
        <f>'район для расчетов (не печатать'!K36+'Свод по посел.'!K35</f>
        <v>149.4</v>
      </c>
      <c r="O36" s="214">
        <f>'район для расчетов (не печатать'!O36+'Свод по посел.'!L35</f>
        <v>0</v>
      </c>
      <c r="P36" s="184">
        <f>'район для расчетов (не печатать'!P36+'Свод по посел.'!P35</f>
        <v>0</v>
      </c>
      <c r="Q36" s="184">
        <f>'район для расчетов (не печатать'!Q36+'Свод по посел.'!Q35</f>
        <v>0</v>
      </c>
      <c r="R36" s="184">
        <f>'район для расчетов (не печатать'!R36+'Свод по посел.'!R35</f>
        <v>0</v>
      </c>
      <c r="S36" s="214">
        <f>'район для расчетов (не печатать'!S36+'Свод по посел.'!S35</f>
        <v>0</v>
      </c>
      <c r="T36" s="184">
        <f>'район для расчетов (не печатать'!T36+'Свод по посел.'!T35</f>
        <v>0</v>
      </c>
      <c r="U36" s="184">
        <f>'район для расчетов (не печатать'!U36+'Свод по посел.'!U35</f>
        <v>0</v>
      </c>
      <c r="V36" s="184">
        <f>'район для расчетов (не печатать'!V36+'Свод по посел.'!V35</f>
        <v>0</v>
      </c>
      <c r="W36" s="214">
        <f>'район для расчетов (не печатать'!W36+'Свод по посел.'!W35</f>
        <v>24</v>
      </c>
      <c r="X36" s="184">
        <f>'район для расчетов (не печатать'!X36+'Свод по посел.'!X35</f>
        <v>1</v>
      </c>
      <c r="Y36" s="184">
        <f>'район для расчетов (не печатать'!Y36+'Свод по посел.'!Y35</f>
        <v>8</v>
      </c>
      <c r="Z36" s="184">
        <f>'район для расчетов (не печатать'!Z36+'Свод по посел.'!Z35</f>
        <v>15</v>
      </c>
      <c r="AA36" s="214">
        <f>'район для расчетов (не печатать'!AA36+'Свод по посел.'!AA35</f>
        <v>47</v>
      </c>
      <c r="AB36" s="184">
        <f>'район для расчетов (не печатать'!AB36+'Свод по посел.'!AB35</f>
        <v>12</v>
      </c>
      <c r="AC36" s="184">
        <f>'район для расчетов (не печатать'!AC36+'Свод по посел.'!AC35</f>
        <v>27.5</v>
      </c>
      <c r="AD36" s="184">
        <f>'район для расчетов (не печатать'!AD36+'Свод по посел.'!AD35</f>
        <v>7.5</v>
      </c>
      <c r="AE36" s="179">
        <f t="shared" si="0"/>
        <v>71</v>
      </c>
    </row>
    <row r="37" spans="1:31" ht="13.5" thickBot="1">
      <c r="A37" s="22"/>
      <c r="B37" s="77" t="s">
        <v>48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150" t="s">
        <v>24</v>
      </c>
      <c r="K37" s="172">
        <f>'район для расчетов (не печатать'!K37+'Свод по посел.'!K36</f>
        <v>0</v>
      </c>
      <c r="O37" s="214">
        <f>'район для расчетов (не печатать'!O37+'Свод по посел.'!L36</f>
        <v>0</v>
      </c>
      <c r="P37" s="184">
        <f>'район для расчетов (не печатать'!P37+'Свод по посел.'!P36</f>
        <v>0</v>
      </c>
      <c r="Q37" s="184">
        <f>'район для расчетов (не печатать'!Q37+'Свод по посел.'!Q36</f>
        <v>0</v>
      </c>
      <c r="R37" s="184">
        <f>'район для расчетов (не печатать'!R37+'Свод по посел.'!R36</f>
        <v>0</v>
      </c>
      <c r="S37" s="214">
        <f>'район для расчетов (не печатать'!S37+'Свод по посел.'!S36</f>
        <v>0</v>
      </c>
      <c r="T37" s="184">
        <f>'район для расчетов (не печатать'!T37+'Свод по посел.'!T36</f>
        <v>0</v>
      </c>
      <c r="U37" s="184">
        <f>'район для расчетов (не печатать'!U37+'Свод по посел.'!U36</f>
        <v>0</v>
      </c>
      <c r="V37" s="184">
        <f>'район для расчетов (не печатать'!V37+'Свод по посел.'!V36</f>
        <v>0</v>
      </c>
      <c r="W37" s="214">
        <f>'район для расчетов (не печатать'!W37+'Свод по посел.'!W36</f>
        <v>0</v>
      </c>
      <c r="X37" s="184">
        <f>'район для расчетов (не печатать'!X37+'Свод по посел.'!X36</f>
        <v>0</v>
      </c>
      <c r="Y37" s="184">
        <f>'район для расчетов (не печатать'!Y37+'Свод по посел.'!Y36</f>
        <v>0</v>
      </c>
      <c r="Z37" s="184">
        <f>'район для расчетов (не печатать'!Z37+'Свод по посел.'!Z36</f>
        <v>0</v>
      </c>
      <c r="AA37" s="214">
        <f>'район для расчетов (не печатать'!AA37+'Свод по посел.'!AA36</f>
        <v>0</v>
      </c>
      <c r="AB37" s="184">
        <f>'район для расчетов (не печатать'!AB37+'Свод по посел.'!AB36</f>
        <v>0</v>
      </c>
      <c r="AC37" s="184">
        <f>'район для расчетов (не печатать'!AC37+'Свод по посел.'!AC36</f>
        <v>0</v>
      </c>
      <c r="AD37" s="184">
        <f>'район для расчетов (не печатать'!AD37+'Свод по посел.'!AD36</f>
        <v>0</v>
      </c>
      <c r="AE37" s="179">
        <f t="shared" si="0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150" t="s">
        <v>24</v>
      </c>
      <c r="K38" s="172">
        <f>'район для расчетов (не печатать'!K38+'Свод по посел.'!K37</f>
        <v>1247.1</v>
      </c>
      <c r="O38" s="214">
        <f>'район для расчетов (не печатать'!O38+'Свод по посел.'!L37</f>
        <v>0</v>
      </c>
      <c r="P38" s="184">
        <f>'район для расчетов (не печатать'!P38+'Свод по посел.'!P37</f>
        <v>0</v>
      </c>
      <c r="Q38" s="184">
        <f>'район для расчетов (не печатать'!Q38+'Свод по посел.'!Q37</f>
        <v>0</v>
      </c>
      <c r="R38" s="184">
        <f>'район для расчетов (не печатать'!R38+'Свод по посел.'!R37</f>
        <v>0</v>
      </c>
      <c r="S38" s="214">
        <f>'район для расчетов (не печатать'!S38+'Свод по посел.'!S37</f>
        <v>30</v>
      </c>
      <c r="T38" s="184">
        <f>'район для расчетов (не печатать'!T38+'Свод по посел.'!T37</f>
        <v>30</v>
      </c>
      <c r="U38" s="184">
        <f>'район для расчетов (не печатать'!U38+'Свод по посел.'!U37</f>
        <v>0</v>
      </c>
      <c r="V38" s="184">
        <f>'район для расчетов (не печатать'!V38+'Свод по посел.'!V37</f>
        <v>0</v>
      </c>
      <c r="W38" s="214">
        <f>'район для расчетов (не печатать'!W38+'Свод по посел.'!W37</f>
        <v>64</v>
      </c>
      <c r="X38" s="184">
        <f>'район для расчетов (не печатать'!X38+'Свод по посел.'!X37</f>
        <v>0</v>
      </c>
      <c r="Y38" s="184">
        <f>'район для расчетов (не печатать'!Y38+'Свод по посел.'!Y37</f>
        <v>0</v>
      </c>
      <c r="Z38" s="184">
        <f>'район для расчетов (не печатать'!Z38+'Свод по посел.'!Z37</f>
        <v>64</v>
      </c>
      <c r="AA38" s="214">
        <f>'район для расчетов (не печатать'!AA38+'Свод по посел.'!AA37</f>
        <v>60</v>
      </c>
      <c r="AB38" s="184">
        <f>'район для расчетов (не печатать'!AB38+'Свод по посел.'!AB37</f>
        <v>0</v>
      </c>
      <c r="AC38" s="184">
        <f>'район для расчетов (не печатать'!AC38+'Свод по посел.'!AC37</f>
        <v>40</v>
      </c>
      <c r="AD38" s="184">
        <f>'район для расчетов (не печатать'!AD38+'Свод по посел.'!AD37</f>
        <v>20</v>
      </c>
      <c r="AE38" s="302">
        <f t="shared" si="0"/>
        <v>154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152" t="s">
        <v>14</v>
      </c>
      <c r="K39" s="303">
        <f>'район для расчетов (не печатать'!K39+'Свод по посел.'!K38</f>
        <v>2250</v>
      </c>
      <c r="O39" s="214">
        <f>'район для расчетов (не печатать'!O39+'Свод по посел.'!L38</f>
        <v>562</v>
      </c>
      <c r="P39" s="184">
        <f>'район для расчетов (не печатать'!P39+'Свод по посел.'!P38</f>
        <v>187</v>
      </c>
      <c r="Q39" s="184">
        <f>'район для расчетов (не печатать'!Q39+'Свод по посел.'!Q38</f>
        <v>187</v>
      </c>
      <c r="R39" s="184">
        <f>'район для расчетов (не печатать'!R39+'Свод по посел.'!R38</f>
        <v>188</v>
      </c>
      <c r="S39" s="214">
        <f>'район для расчетов (не печатать'!S39+'Свод по посел.'!S38</f>
        <v>562</v>
      </c>
      <c r="T39" s="184">
        <f>'район для расчетов (не печатать'!T39+'Свод по посел.'!T38</f>
        <v>187</v>
      </c>
      <c r="U39" s="184">
        <f>'район для расчетов (не печатать'!U39+'Свод по посел.'!U38</f>
        <v>187</v>
      </c>
      <c r="V39" s="184">
        <f>'район для расчетов (не печатать'!V39+'Свод по посел.'!V38</f>
        <v>188</v>
      </c>
      <c r="W39" s="214">
        <f>'район для расчетов (не печатать'!W39+'Свод по посел.'!W38</f>
        <v>562</v>
      </c>
      <c r="X39" s="184">
        <f>'район для расчетов (не печатать'!X39+'Свод по посел.'!X38</f>
        <v>187</v>
      </c>
      <c r="Y39" s="184">
        <f>'район для расчетов (не печатать'!Y39+'Свод по посел.'!Y38</f>
        <v>187</v>
      </c>
      <c r="Z39" s="184">
        <f>'район для расчетов (не печатать'!Z39+'Свод по посел.'!Z38</f>
        <v>188</v>
      </c>
      <c r="AA39" s="214">
        <f>'район для расчетов (не печатать'!AA39+'Свод по посел.'!AA38</f>
        <v>564</v>
      </c>
      <c r="AB39" s="184">
        <f>'район для расчетов (не печатать'!AB39+'Свод по посел.'!AB38</f>
        <v>188</v>
      </c>
      <c r="AC39" s="184">
        <f>'район для расчетов (не печатать'!AC39+'Свод по посел.'!AC38</f>
        <v>188</v>
      </c>
      <c r="AD39" s="184">
        <f>'район для расчетов (не печатать'!AD39+'Свод по посел.'!AD38</f>
        <v>188</v>
      </c>
      <c r="AE39" s="179">
        <f t="shared" si="0"/>
        <v>2250</v>
      </c>
    </row>
    <row r="40" spans="1:31" ht="13.5" thickBot="1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153" t="s">
        <v>24</v>
      </c>
      <c r="K40" s="172">
        <f>'район для расчетов (не печатать'!K40+'Свод по посел.'!K39</f>
        <v>2250</v>
      </c>
      <c r="O40" s="214">
        <f>'район для расчетов (не печатать'!O40+'Свод по посел.'!L39</f>
        <v>562</v>
      </c>
      <c r="P40" s="184">
        <f>'район для расчетов (не печатать'!P40+'Свод по посел.'!P39</f>
        <v>187</v>
      </c>
      <c r="Q40" s="184">
        <f>'район для расчетов (не печатать'!Q40+'Свод по посел.'!Q39</f>
        <v>187</v>
      </c>
      <c r="R40" s="184">
        <f>'район для расчетов (не печатать'!R40+'Свод по посел.'!R39</f>
        <v>188</v>
      </c>
      <c r="S40" s="214">
        <f>'район для расчетов (не печатать'!S40+'Свод по посел.'!S39</f>
        <v>562</v>
      </c>
      <c r="T40" s="184">
        <f>'район для расчетов (не печатать'!T40+'Свод по посел.'!T39</f>
        <v>187</v>
      </c>
      <c r="U40" s="184">
        <f>'район для расчетов (не печатать'!U40+'Свод по посел.'!U39</f>
        <v>187</v>
      </c>
      <c r="V40" s="184">
        <f>'район для расчетов (не печатать'!V40+'Свод по посел.'!V39</f>
        <v>188</v>
      </c>
      <c r="W40" s="214">
        <f>'район для расчетов (не печатать'!W40+'Свод по посел.'!W39</f>
        <v>562</v>
      </c>
      <c r="X40" s="184">
        <f>'район для расчетов (не печатать'!X40+'Свод по посел.'!X39</f>
        <v>187</v>
      </c>
      <c r="Y40" s="184">
        <f>'район для расчетов (не печатать'!Y40+'Свод по посел.'!Y39</f>
        <v>187</v>
      </c>
      <c r="Z40" s="184">
        <f>'район для расчетов (не печатать'!Z40+'Свод по посел.'!Z39</f>
        <v>188</v>
      </c>
      <c r="AA40" s="214">
        <f>'район для расчетов (не печатать'!AA40+'Свод по посел.'!AA39</f>
        <v>564</v>
      </c>
      <c r="AB40" s="184">
        <f>'район для расчетов (не печатать'!AB40+'Свод по посел.'!AB39</f>
        <v>188</v>
      </c>
      <c r="AC40" s="184">
        <f>'район для расчетов (не печатать'!AC40+'Свод по посел.'!AC39</f>
        <v>188</v>
      </c>
      <c r="AD40" s="184">
        <f>'район для расчетов (не печатать'!AD40+'Свод по посел.'!AD39</f>
        <v>188</v>
      </c>
      <c r="AE40" s="179">
        <f t="shared" si="0"/>
        <v>2250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154" t="s">
        <v>24</v>
      </c>
      <c r="K41" s="172">
        <f>'район для расчетов (не печатать'!K41+'Свод по посел.'!K40</f>
        <v>0</v>
      </c>
      <c r="O41" s="214">
        <f>'район для расчетов (не печатать'!O41+'Свод по посел.'!L40</f>
        <v>0</v>
      </c>
      <c r="P41" s="184">
        <f>'район для расчетов (не печатать'!P41+'Свод по посел.'!P40</f>
        <v>0</v>
      </c>
      <c r="Q41" s="184">
        <f>'район для расчетов (не печатать'!Q41+'Свод по посел.'!Q40</f>
        <v>0</v>
      </c>
      <c r="R41" s="184">
        <f>'район для расчетов (не печатать'!R41+'Свод по посел.'!R40</f>
        <v>0</v>
      </c>
      <c r="S41" s="214">
        <f>'район для расчетов (не печатать'!S41+'Свод по посел.'!S40</f>
        <v>0</v>
      </c>
      <c r="T41" s="184">
        <f>'район для расчетов (не печатать'!T41+'Свод по посел.'!T40</f>
        <v>0</v>
      </c>
      <c r="U41" s="184">
        <f>'район для расчетов (не печатать'!U41+'Свод по посел.'!U40</f>
        <v>0</v>
      </c>
      <c r="V41" s="184">
        <f>'район для расчетов (не печатать'!V41+'Свод по посел.'!V40</f>
        <v>0</v>
      </c>
      <c r="W41" s="214">
        <f>'район для расчетов (не печатать'!W41+'Свод по посел.'!W40</f>
        <v>0</v>
      </c>
      <c r="X41" s="184">
        <f>'район для расчетов (не печатать'!X41+'Свод по посел.'!X40</f>
        <v>0</v>
      </c>
      <c r="Y41" s="184">
        <f>'район для расчетов (не печатать'!Y41+'Свод по посел.'!Y40</f>
        <v>0</v>
      </c>
      <c r="Z41" s="184">
        <f>'район для расчетов (не печатать'!Z41+'Свод по посел.'!Z40</f>
        <v>0</v>
      </c>
      <c r="AA41" s="214">
        <f>'район для расчетов (не печатать'!AA41+'Свод по посел.'!AA40</f>
        <v>0</v>
      </c>
      <c r="AB41" s="184">
        <f>'район для расчетов (не печатать'!AB41+'Свод по посел.'!AB40</f>
        <v>0</v>
      </c>
      <c r="AC41" s="184">
        <f>'район для расчетов (не печатать'!AC41+'Свод по посел.'!AC40</f>
        <v>0</v>
      </c>
      <c r="AD41" s="184">
        <f>'район для расчетов (не печатать'!AD41+'Свод по посел.'!AD40</f>
        <v>0</v>
      </c>
      <c r="AE41" s="179">
        <f t="shared" si="0"/>
        <v>0</v>
      </c>
    </row>
    <row r="42" spans="1:31" ht="13.5" hidden="1" thickBot="1">
      <c r="A42" s="428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155" t="s">
        <v>14</v>
      </c>
      <c r="K42" s="172">
        <f>'район для расчетов (не печатать'!K42+'Свод по посел.'!K41</f>
        <v>0</v>
      </c>
      <c r="O42" s="214">
        <f>'район для расчетов (не печатать'!O42+'Свод по посел.'!L41</f>
        <v>0</v>
      </c>
      <c r="P42" s="184">
        <f>'район для расчетов (не печатать'!P42+'Свод по посел.'!P41</f>
        <v>0</v>
      </c>
      <c r="Q42" s="184">
        <f>'район для расчетов (не печатать'!Q42+'Свод по посел.'!Q41</f>
        <v>0</v>
      </c>
      <c r="R42" s="184">
        <f>'район для расчетов (не печатать'!R42+'Свод по посел.'!R41</f>
        <v>0</v>
      </c>
      <c r="S42" s="214">
        <f>'район для расчетов (не печатать'!S42+'Свод по посел.'!S41</f>
        <v>0</v>
      </c>
      <c r="T42" s="184">
        <f>'район для расчетов (не печатать'!T42+'Свод по посел.'!T41</f>
        <v>0</v>
      </c>
      <c r="U42" s="184">
        <f>'район для расчетов (не печатать'!U42+'Свод по посел.'!U41</f>
        <v>0</v>
      </c>
      <c r="V42" s="184">
        <f>'район для расчетов (не печатать'!V42+'Свод по посел.'!V41</f>
        <v>0</v>
      </c>
      <c r="W42" s="214">
        <f>'район для расчетов (не печатать'!W42+'Свод по посел.'!W41</f>
        <v>0</v>
      </c>
      <c r="X42" s="184">
        <f>'район для расчетов (не печатать'!X42+'Свод по посел.'!X41</f>
        <v>0</v>
      </c>
      <c r="Y42" s="184">
        <f>'район для расчетов (не печатать'!Y42+'Свод по посел.'!Y41</f>
        <v>0</v>
      </c>
      <c r="Z42" s="184">
        <f>'район для расчетов (не печатать'!Z42+'Свод по посел.'!Z41</f>
        <v>0</v>
      </c>
      <c r="AA42" s="214">
        <f>'район для расчетов (не печатать'!AA42+'Свод по посел.'!AA41</f>
        <v>0</v>
      </c>
      <c r="AB42" s="184">
        <f>'район для расчетов (не печатать'!AB42+'Свод по посел.'!AB41</f>
        <v>0</v>
      </c>
      <c r="AC42" s="184">
        <f>'район для расчетов (не печатать'!AC42+'Свод по посел.'!AC41</f>
        <v>0</v>
      </c>
      <c r="AD42" s="184">
        <f>'район для расчетов (не печатать'!AD42+'Свод по посел.'!AD41</f>
        <v>0</v>
      </c>
      <c r="AE42" s="179">
        <f t="shared" si="0"/>
        <v>0</v>
      </c>
    </row>
    <row r="43" spans="1:31" ht="13.5" hidden="1" thickBot="1">
      <c r="A43" s="429"/>
      <c r="B43" s="83" t="s">
        <v>59</v>
      </c>
      <c r="C43" s="59"/>
      <c r="D43" s="59"/>
      <c r="E43" s="59"/>
      <c r="F43" s="60"/>
      <c r="G43" s="60"/>
      <c r="H43" s="60"/>
      <c r="I43" s="60"/>
      <c r="J43" s="156"/>
      <c r="K43" s="172">
        <f>'район для расчетов (не печатать'!K43+'Свод по посел.'!K42</f>
        <v>0</v>
      </c>
      <c r="O43" s="214">
        <f>'район для расчетов (не печатать'!O43+'Свод по посел.'!L42</f>
        <v>0</v>
      </c>
      <c r="P43" s="184">
        <f>'район для расчетов (не печатать'!P43+'Свод по посел.'!P42</f>
        <v>0</v>
      </c>
      <c r="Q43" s="184">
        <f>'район для расчетов (не печатать'!Q43+'Свод по посел.'!Q42</f>
        <v>0</v>
      </c>
      <c r="R43" s="184">
        <f>'район для расчетов (не печатать'!R43+'Свод по посел.'!R42</f>
        <v>0</v>
      </c>
      <c r="S43" s="214">
        <f>'район для расчетов (не печатать'!S43+'Свод по посел.'!S42</f>
        <v>0</v>
      </c>
      <c r="T43" s="184">
        <f>'район для расчетов (не печатать'!T43+'Свод по посел.'!T42</f>
        <v>0</v>
      </c>
      <c r="U43" s="184">
        <f>'район для расчетов (не печатать'!U43+'Свод по посел.'!U42</f>
        <v>0</v>
      </c>
      <c r="V43" s="184">
        <f>'район для расчетов (не печатать'!V43+'Свод по посел.'!V42</f>
        <v>0</v>
      </c>
      <c r="W43" s="214">
        <f>'район для расчетов (не печатать'!W43+'Свод по посел.'!W42</f>
        <v>0</v>
      </c>
      <c r="X43" s="184">
        <f>'район для расчетов (не печатать'!X43+'Свод по посел.'!X42</f>
        <v>0</v>
      </c>
      <c r="Y43" s="184">
        <f>'район для расчетов (не печатать'!Y43+'Свод по посел.'!Y42</f>
        <v>0</v>
      </c>
      <c r="Z43" s="184">
        <f>'район для расчетов (не печатать'!Z43+'Свод по посел.'!Z42</f>
        <v>0</v>
      </c>
      <c r="AA43" s="214">
        <f>'район для расчетов (не печатать'!AA43+'Свод по посел.'!AA42</f>
        <v>0</v>
      </c>
      <c r="AB43" s="184">
        <f>'район для расчетов (не печатать'!AB43+'Свод по посел.'!AB42</f>
        <v>0</v>
      </c>
      <c r="AC43" s="184">
        <f>'район для расчетов (не печатать'!AC43+'Свод по посел.'!AC42</f>
        <v>0</v>
      </c>
      <c r="AD43" s="184">
        <f>'район для расчетов (не печатать'!AD43+'Свод по посел.'!AD42</f>
        <v>0</v>
      </c>
      <c r="AE43" s="179">
        <f t="shared" si="0"/>
        <v>0</v>
      </c>
    </row>
    <row r="44" spans="1:31" ht="13.5" hidden="1" thickBot="1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157" t="s">
        <v>24</v>
      </c>
      <c r="K44" s="172">
        <f>'район для расчетов (не печатать'!K44+'Свод по посел.'!K43</f>
        <v>0</v>
      </c>
      <c r="O44" s="214">
        <f>'район для расчетов (не печатать'!O44+'Свод по посел.'!L43</f>
        <v>0</v>
      </c>
      <c r="P44" s="184">
        <f>'район для расчетов (не печатать'!P44+'Свод по посел.'!P43</f>
        <v>0</v>
      </c>
      <c r="Q44" s="184">
        <f>'район для расчетов (не печатать'!Q44+'Свод по посел.'!Q43</f>
        <v>0</v>
      </c>
      <c r="R44" s="184">
        <f>'район для расчетов (не печатать'!R44+'Свод по посел.'!R43</f>
        <v>0</v>
      </c>
      <c r="S44" s="214">
        <f>'район для расчетов (не печатать'!S44+'Свод по посел.'!S43</f>
        <v>0</v>
      </c>
      <c r="T44" s="184">
        <f>'район для расчетов (не печатать'!T44+'Свод по посел.'!T43</f>
        <v>0</v>
      </c>
      <c r="U44" s="184">
        <f>'район для расчетов (не печатать'!U44+'Свод по посел.'!U43</f>
        <v>0</v>
      </c>
      <c r="V44" s="184">
        <f>'район для расчетов (не печатать'!V44+'Свод по посел.'!V43</f>
        <v>0</v>
      </c>
      <c r="W44" s="214">
        <f>'район для расчетов (не печатать'!W44+'Свод по посел.'!W43</f>
        <v>0</v>
      </c>
      <c r="X44" s="184">
        <f>'район для расчетов (не печатать'!X44+'Свод по посел.'!X43</f>
        <v>0</v>
      </c>
      <c r="Y44" s="184">
        <f>'район для расчетов (не печатать'!Y44+'Свод по посел.'!Y43</f>
        <v>0</v>
      </c>
      <c r="Z44" s="184">
        <f>'район для расчетов (не печатать'!Z44+'Свод по посел.'!Z43</f>
        <v>0</v>
      </c>
      <c r="AA44" s="214">
        <f>'район для расчетов (не печатать'!AA44+'Свод по посел.'!AA43</f>
        <v>0</v>
      </c>
      <c r="AB44" s="184">
        <f>'район для расчетов (не печатать'!AB44+'Свод по посел.'!AB43</f>
        <v>0</v>
      </c>
      <c r="AC44" s="184">
        <f>'район для расчетов (не печатать'!AC44+'Свод по посел.'!AC43</f>
        <v>0</v>
      </c>
      <c r="AD44" s="184">
        <f>'район для расчетов (не печатать'!AD44+'Свод по посел.'!AD43</f>
        <v>0</v>
      </c>
      <c r="AE44" s="179">
        <f t="shared" si="0"/>
        <v>0</v>
      </c>
    </row>
    <row r="45" spans="1:31" ht="13.5" hidden="1" thickBot="1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157" t="s">
        <v>24</v>
      </c>
      <c r="K45" s="172">
        <f>'район для расчетов (не печатать'!K45+'Свод по посел.'!K44</f>
        <v>0</v>
      </c>
      <c r="O45" s="214">
        <f>'район для расчетов (не печатать'!O45+'Свод по посел.'!L44</f>
        <v>0</v>
      </c>
      <c r="P45" s="184">
        <f>'район для расчетов (не печатать'!P45+'Свод по посел.'!P44</f>
        <v>0</v>
      </c>
      <c r="Q45" s="184">
        <f>'район для расчетов (не печатать'!Q45+'Свод по посел.'!Q44</f>
        <v>0</v>
      </c>
      <c r="R45" s="184">
        <f>'район для расчетов (не печатать'!R45+'Свод по посел.'!R44</f>
        <v>0</v>
      </c>
      <c r="S45" s="214">
        <f>'район для расчетов (не печатать'!S45+'Свод по посел.'!S44</f>
        <v>0</v>
      </c>
      <c r="T45" s="184">
        <f>'район для расчетов (не печатать'!T45+'Свод по посел.'!T44</f>
        <v>0</v>
      </c>
      <c r="U45" s="184">
        <f>'район для расчетов (не печатать'!U45+'Свод по посел.'!U44</f>
        <v>0</v>
      </c>
      <c r="V45" s="184">
        <f>'район для расчетов (не печатать'!V45+'Свод по посел.'!V44</f>
        <v>0</v>
      </c>
      <c r="W45" s="214">
        <f>'район для расчетов (не печатать'!W45+'Свод по посел.'!W44</f>
        <v>0</v>
      </c>
      <c r="X45" s="184">
        <f>'район для расчетов (не печатать'!X45+'Свод по посел.'!X44</f>
        <v>0</v>
      </c>
      <c r="Y45" s="184">
        <f>'район для расчетов (не печатать'!Y45+'Свод по посел.'!Y44</f>
        <v>0</v>
      </c>
      <c r="Z45" s="184">
        <f>'район для расчетов (не печатать'!Z45+'Свод по посел.'!Z44</f>
        <v>0</v>
      </c>
      <c r="AA45" s="214">
        <f>'район для расчетов (не печатать'!AA45+'Свод по посел.'!AA44</f>
        <v>0</v>
      </c>
      <c r="AB45" s="184">
        <f>'район для расчетов (не печатать'!AB45+'Свод по посел.'!AB44</f>
        <v>0</v>
      </c>
      <c r="AC45" s="184">
        <f>'район для расчетов (не печатать'!AC45+'Свод по посел.'!AC44</f>
        <v>0</v>
      </c>
      <c r="AD45" s="184">
        <f>'район для расчетов (не печатать'!AD45+'Свод по посел.'!AD44</f>
        <v>0</v>
      </c>
      <c r="AE45" s="179">
        <f t="shared" si="0"/>
        <v>0</v>
      </c>
    </row>
    <row r="46" spans="1:31" ht="13.5" hidden="1" thickBot="1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150" t="s">
        <v>24</v>
      </c>
      <c r="K46" s="172">
        <f>'район для расчетов (не печатать'!K46+'Свод по посел.'!K45</f>
        <v>0</v>
      </c>
      <c r="O46" s="214">
        <f>'район для расчетов (не печатать'!O46+'Свод по посел.'!L45</f>
        <v>0</v>
      </c>
      <c r="P46" s="184">
        <f>'район для расчетов (не печатать'!P46+'Свод по посел.'!P45</f>
        <v>0</v>
      </c>
      <c r="Q46" s="184">
        <f>'район для расчетов (не печатать'!Q46+'Свод по посел.'!Q45</f>
        <v>0</v>
      </c>
      <c r="R46" s="184">
        <f>'район для расчетов (не печатать'!R46+'Свод по посел.'!R45</f>
        <v>0</v>
      </c>
      <c r="S46" s="214">
        <f>'район для расчетов (не печатать'!S46+'Свод по посел.'!S45</f>
        <v>0</v>
      </c>
      <c r="T46" s="184">
        <f>'район для расчетов (не печатать'!T46+'Свод по посел.'!T45</f>
        <v>0</v>
      </c>
      <c r="U46" s="184">
        <f>'район для расчетов (не печатать'!U46+'Свод по посел.'!U45</f>
        <v>0</v>
      </c>
      <c r="V46" s="184">
        <f>'район для расчетов (не печатать'!V46+'Свод по посел.'!V45</f>
        <v>0</v>
      </c>
      <c r="W46" s="214">
        <f>'район для расчетов (не печатать'!W46+'Свод по посел.'!W45</f>
        <v>0</v>
      </c>
      <c r="X46" s="184">
        <f>'район для расчетов (не печатать'!X46+'Свод по посел.'!X45</f>
        <v>0</v>
      </c>
      <c r="Y46" s="184">
        <f>'район для расчетов (не печатать'!Y46+'Свод по посел.'!Y45</f>
        <v>0</v>
      </c>
      <c r="Z46" s="184">
        <f>'район для расчетов (не печатать'!Z46+'Свод по посел.'!Z45</f>
        <v>0</v>
      </c>
      <c r="AA46" s="214">
        <f>'район для расчетов (не печатать'!AA46+'Свод по посел.'!AA45</f>
        <v>0</v>
      </c>
      <c r="AB46" s="184">
        <f>'район для расчетов (не печатать'!AB46+'Свод по посел.'!AB45</f>
        <v>0</v>
      </c>
      <c r="AC46" s="184">
        <f>'район для расчетов (не печатать'!AC46+'Свод по посел.'!AC45</f>
        <v>0</v>
      </c>
      <c r="AD46" s="184">
        <f>'район для расчетов (не печатать'!AD46+'Свод по посел.'!AD45</f>
        <v>0</v>
      </c>
      <c r="AE46" s="179">
        <f t="shared" si="0"/>
        <v>0</v>
      </c>
    </row>
    <row r="47" spans="1:31" ht="13.5" hidden="1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158" t="s">
        <v>24</v>
      </c>
      <c r="K47" s="172">
        <f>'район для расчетов (не печатать'!K47+'Свод по посел.'!K46</f>
        <v>0</v>
      </c>
      <c r="O47" s="214">
        <f>'район для расчетов (не печатать'!O47+'Свод по посел.'!L46</f>
        <v>0</v>
      </c>
      <c r="P47" s="184">
        <f>'район для расчетов (не печатать'!P47+'Свод по посел.'!P46</f>
        <v>0</v>
      </c>
      <c r="Q47" s="184">
        <f>'район для расчетов (не печатать'!Q47+'Свод по посел.'!Q46</f>
        <v>0</v>
      </c>
      <c r="R47" s="184">
        <f>'район для расчетов (не печатать'!R47+'Свод по посел.'!R46</f>
        <v>0</v>
      </c>
      <c r="S47" s="214">
        <f>'район для расчетов (не печатать'!S47+'Свод по посел.'!S46</f>
        <v>0</v>
      </c>
      <c r="T47" s="184">
        <f>'район для расчетов (не печатать'!T47+'Свод по посел.'!T46</f>
        <v>0</v>
      </c>
      <c r="U47" s="184">
        <f>'район для расчетов (не печатать'!U47+'Свод по посел.'!U46</f>
        <v>0</v>
      </c>
      <c r="V47" s="184">
        <f>'район для расчетов (не печатать'!V47+'Свод по посел.'!V46</f>
        <v>0</v>
      </c>
      <c r="W47" s="214">
        <f>'район для расчетов (не печатать'!W47+'Свод по посел.'!W46</f>
        <v>0</v>
      </c>
      <c r="X47" s="184">
        <f>'район для расчетов (не печатать'!X47+'Свод по посел.'!X46</f>
        <v>0</v>
      </c>
      <c r="Y47" s="184">
        <f>'район для расчетов (не печатать'!Y47+'Свод по посел.'!Y46</f>
        <v>0</v>
      </c>
      <c r="Z47" s="184">
        <f>'район для расчетов (не печатать'!Z47+'Свод по посел.'!Z46</f>
        <v>0</v>
      </c>
      <c r="AA47" s="214">
        <f>'район для расчетов (не печатать'!AA47+'Свод по посел.'!AA46</f>
        <v>0</v>
      </c>
      <c r="AB47" s="184">
        <f>'район для расчетов (не печатать'!AB47+'Свод по посел.'!AB46</f>
        <v>0</v>
      </c>
      <c r="AC47" s="184">
        <f>'район для расчетов (не печатать'!AC47+'Свод по посел.'!AC46</f>
        <v>0</v>
      </c>
      <c r="AD47" s="184">
        <f>'район для расчетов (не печатать'!AD47+'Свод по посел.'!AD46</f>
        <v>0</v>
      </c>
      <c r="AE47" s="179">
        <f t="shared" si="0"/>
        <v>0</v>
      </c>
    </row>
    <row r="48" spans="1:31" ht="31.5" customHeight="1" thickBot="1">
      <c r="A48" s="15" t="s">
        <v>62</v>
      </c>
      <c r="B48" s="141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159" t="s">
        <v>14</v>
      </c>
      <c r="K48" s="303">
        <f>'район для расчетов (не печатать'!K48+'Свод по посел.'!K47</f>
        <v>1573</v>
      </c>
      <c r="O48" s="214">
        <f>'район для расчетов (не печатать'!O48+'Свод по посел.'!L47</f>
        <v>284</v>
      </c>
      <c r="P48" s="184">
        <f>'район для расчетов (не печатать'!P48+'Свод по посел.'!P47</f>
        <v>90</v>
      </c>
      <c r="Q48" s="184">
        <f>'район для расчетов (не печатать'!Q48+'Свод по посел.'!Q47</f>
        <v>92</v>
      </c>
      <c r="R48" s="184">
        <f>'район для расчетов (не печатать'!R48+'Свод по посел.'!R47</f>
        <v>102</v>
      </c>
      <c r="S48" s="214">
        <f>'район для расчетов (не печатать'!S48+'Свод по посел.'!S47</f>
        <v>289</v>
      </c>
      <c r="T48" s="184">
        <f>'район для расчетов (не печатать'!T48+'Свод по посел.'!T47</f>
        <v>93</v>
      </c>
      <c r="U48" s="184">
        <f>'район для расчетов (не печатать'!U48+'Свод по посел.'!U47</f>
        <v>93</v>
      </c>
      <c r="V48" s="184">
        <f>'район для расчетов (не печатать'!V48+'Свод по посел.'!V47</f>
        <v>103</v>
      </c>
      <c r="W48" s="214">
        <f>'район для расчетов (не печатать'!W48+'Свод по посел.'!W47</f>
        <v>284</v>
      </c>
      <c r="X48" s="184">
        <f>'район для расчетов (не печатать'!X48+'Свод по посел.'!X47</f>
        <v>90.5</v>
      </c>
      <c r="Y48" s="184">
        <f>'район для расчетов (не печатать'!Y48+'Свод по посел.'!Y47</f>
        <v>92</v>
      </c>
      <c r="Z48" s="184">
        <f>'район для расчетов (не печатать'!Z48+'Свод по посел.'!Z47</f>
        <v>101.5</v>
      </c>
      <c r="AA48" s="214">
        <f>'район для расчетов (не печатать'!AA48+'Свод по посел.'!AA47</f>
        <v>293</v>
      </c>
      <c r="AB48" s="184">
        <f>'район для расчетов (не печатать'!AB48+'Свод по посел.'!AB47</f>
        <v>95</v>
      </c>
      <c r="AC48" s="184">
        <f>'район для расчетов (не печатать'!AC48+'Свод по посел.'!AC47</f>
        <v>95</v>
      </c>
      <c r="AD48" s="184">
        <f>'район для расчетов (не печатать'!AD48+'Свод по посел.'!AD47</f>
        <v>103</v>
      </c>
      <c r="AE48" s="179">
        <f t="shared" si="0"/>
        <v>1150</v>
      </c>
    </row>
    <row r="49" spans="1:31" ht="11.25" customHeight="1" thickBot="1">
      <c r="A49" s="19"/>
      <c r="B49" s="143"/>
      <c r="C49" s="133"/>
      <c r="D49" s="133"/>
      <c r="E49" s="133"/>
      <c r="F49" s="133"/>
      <c r="G49" s="133"/>
      <c r="H49" s="133"/>
      <c r="I49" s="133"/>
      <c r="J49" s="160"/>
      <c r="K49" s="172">
        <f>'район для расчетов (не печатать'!K49+'Свод по посел.'!K48</f>
        <v>0</v>
      </c>
      <c r="O49" s="214">
        <f>'район для расчетов (не печатать'!O49+'Свод по посел.'!L48</f>
        <v>0</v>
      </c>
      <c r="P49" s="184">
        <f>'район для расчетов (не печатать'!P49+'Свод по посел.'!P48</f>
        <v>0</v>
      </c>
      <c r="Q49" s="184">
        <f>'район для расчетов (не печатать'!Q49+'Свод по посел.'!Q48</f>
        <v>0</v>
      </c>
      <c r="R49" s="184">
        <f>'район для расчетов (не печатать'!R49+'Свод по посел.'!R48</f>
        <v>0</v>
      </c>
      <c r="S49" s="214">
        <f>'район для расчетов (не печатать'!S49+'Свод по посел.'!S48</f>
        <v>0</v>
      </c>
      <c r="T49" s="184">
        <f>'район для расчетов (не печатать'!T49+'Свод по посел.'!T48</f>
        <v>0</v>
      </c>
      <c r="U49" s="184">
        <f>'район для расчетов (не печатать'!U49+'Свод по посел.'!U48</f>
        <v>0</v>
      </c>
      <c r="V49" s="184">
        <f>'район для расчетов (не печатать'!V49+'Свод по посел.'!V48</f>
        <v>0</v>
      </c>
      <c r="W49" s="214">
        <f>'район для расчетов (не печатать'!W49+'Свод по посел.'!W48</f>
        <v>0</v>
      </c>
      <c r="X49" s="184">
        <f>'район для расчетов (не печатать'!X49+'Свод по посел.'!X48</f>
        <v>0</v>
      </c>
      <c r="Y49" s="184">
        <f>'район для расчетов (не печатать'!Y49+'Свод по посел.'!Y48</f>
        <v>0</v>
      </c>
      <c r="Z49" s="184">
        <f>'район для расчетов (не печатать'!Z49+'Свод по посел.'!Z48</f>
        <v>0</v>
      </c>
      <c r="AA49" s="214">
        <f>'район для расчетов (не печатать'!AA49+'Свод по посел.'!AA48</f>
        <v>0</v>
      </c>
      <c r="AB49" s="184">
        <f>'район для расчетов (не печатать'!AB49+'Свод по посел.'!AB48</f>
        <v>0</v>
      </c>
      <c r="AC49" s="184">
        <f>'район для расчетов (не печатать'!AC49+'Свод по посел.'!AC48</f>
        <v>0</v>
      </c>
      <c r="AD49" s="184">
        <f>'район для расчетов (не печатать'!AD49+'Свод по посел.'!AD48</f>
        <v>0</v>
      </c>
      <c r="AE49" s="179">
        <f t="shared" si="0"/>
        <v>0</v>
      </c>
    </row>
    <row r="50" spans="1:31" ht="19.5" customHeight="1" thickBot="1">
      <c r="A50" s="123" t="s">
        <v>64</v>
      </c>
      <c r="B50" s="114" t="s">
        <v>149</v>
      </c>
      <c r="C50" s="115" t="s">
        <v>14</v>
      </c>
      <c r="D50" s="115">
        <v>1</v>
      </c>
      <c r="E50" s="115">
        <v>11</v>
      </c>
      <c r="F50" s="115" t="s">
        <v>38</v>
      </c>
      <c r="G50" s="115" t="s">
        <v>14</v>
      </c>
      <c r="H50" s="115" t="s">
        <v>15</v>
      </c>
      <c r="I50" s="115" t="s">
        <v>16</v>
      </c>
      <c r="J50" s="161" t="s">
        <v>65</v>
      </c>
      <c r="K50" s="172">
        <f>'район для расчетов (не печатать'!K50+'Свод по посел.'!K49</f>
        <v>1353</v>
      </c>
      <c r="O50" s="214">
        <f>'район для расчетов (не печатать'!O50+'Свод по посел.'!L49</f>
        <v>230</v>
      </c>
      <c r="P50" s="184">
        <f>'район для расчетов (не печатать'!P50+'Свод по посел.'!P49</f>
        <v>74.5</v>
      </c>
      <c r="Q50" s="184">
        <f>'район для расчетов (не печатать'!Q50+'Свод по посел.'!Q49</f>
        <v>74.5</v>
      </c>
      <c r="R50" s="184">
        <f>'район для расчетов (не печатать'!R50+'Свод по посел.'!R49</f>
        <v>81</v>
      </c>
      <c r="S50" s="214">
        <f>'район для расчетов (не печатать'!S50+'Свод по посел.'!S49</f>
        <v>233</v>
      </c>
      <c r="T50" s="184">
        <f>'район для расчетов (не печатать'!T50+'Свод по посел.'!T49</f>
        <v>76</v>
      </c>
      <c r="U50" s="184">
        <f>'район для расчетов (не печатать'!U50+'Свод по посел.'!U49</f>
        <v>75</v>
      </c>
      <c r="V50" s="184">
        <f>'район для расчетов (не печатать'!V50+'Свод по посел.'!V49</f>
        <v>82</v>
      </c>
      <c r="W50" s="214">
        <f>'район для расчетов (не печатать'!W50+'Свод по посел.'!W49</f>
        <v>231</v>
      </c>
      <c r="X50" s="184">
        <f>'район для расчетов (не печатать'!X50+'Свод по посел.'!X49</f>
        <v>75</v>
      </c>
      <c r="Y50" s="184">
        <f>'район для расчетов (не печатать'!Y50+'Свод по посел.'!Y49</f>
        <v>75</v>
      </c>
      <c r="Z50" s="184">
        <f>'район для расчетов (не печатать'!Z50+'Свод по посел.'!Z49</f>
        <v>81</v>
      </c>
      <c r="AA50" s="214">
        <f>'район для расчетов (не печатать'!AA50+'Свод по посел.'!AA49</f>
        <v>236</v>
      </c>
      <c r="AB50" s="184">
        <f>'район для расчетов (не печатать'!AB50+'Свод по посел.'!AB49</f>
        <v>77</v>
      </c>
      <c r="AC50" s="184">
        <f>'район для расчетов (не печатать'!AC50+'Свод по посел.'!AC49</f>
        <v>77</v>
      </c>
      <c r="AD50" s="184">
        <f>'район для расчетов (не печатать'!AD50+'Свод по посел.'!AD49</f>
        <v>82</v>
      </c>
      <c r="AE50" s="179">
        <f t="shared" si="0"/>
        <v>930</v>
      </c>
    </row>
    <row r="51" spans="1:31" ht="24.75" thickBot="1">
      <c r="A51" s="110"/>
      <c r="B51" s="112" t="s">
        <v>155</v>
      </c>
      <c r="C51" s="117" t="s">
        <v>66</v>
      </c>
      <c r="D51" s="117" t="s">
        <v>19</v>
      </c>
      <c r="E51" s="117" t="s">
        <v>63</v>
      </c>
      <c r="F51" s="117" t="s">
        <v>38</v>
      </c>
      <c r="G51" s="117" t="s">
        <v>14</v>
      </c>
      <c r="H51" s="117" t="s">
        <v>38</v>
      </c>
      <c r="I51" s="117" t="s">
        <v>16</v>
      </c>
      <c r="J51" s="162" t="s">
        <v>65</v>
      </c>
      <c r="K51" s="172">
        <f>'район для расчетов (не печатать'!K51+'Свод по посел.'!K50</f>
        <v>1353</v>
      </c>
      <c r="O51" s="214">
        <f>'район для расчетов (не печатать'!O51+'Свод по посел.'!L50</f>
        <v>230</v>
      </c>
      <c r="P51" s="184">
        <f>'район для расчетов (не печатать'!P51+'Свод по посел.'!P50</f>
        <v>74.5</v>
      </c>
      <c r="Q51" s="184">
        <f>'район для расчетов (не печатать'!Q51+'Свод по посел.'!Q50</f>
        <v>74.5</v>
      </c>
      <c r="R51" s="184">
        <f>'район для расчетов (не печатать'!R51+'Свод по посел.'!R50</f>
        <v>81</v>
      </c>
      <c r="S51" s="214">
        <f>'район для расчетов (не печатать'!S51+'Свод по посел.'!S50</f>
        <v>233</v>
      </c>
      <c r="T51" s="184">
        <f>'район для расчетов (не печатать'!T51+'Свод по посел.'!T50</f>
        <v>76</v>
      </c>
      <c r="U51" s="184">
        <f>'район для расчетов (не печатать'!U51+'Свод по посел.'!U50</f>
        <v>75</v>
      </c>
      <c r="V51" s="184">
        <f>'район для расчетов (не печатать'!V51+'Свод по посел.'!V50</f>
        <v>82</v>
      </c>
      <c r="W51" s="214">
        <f>'район для расчетов (не печатать'!W51+'Свод по посел.'!W50</f>
        <v>231</v>
      </c>
      <c r="X51" s="184">
        <f>'район для расчетов (не печатать'!X51+'Свод по посел.'!X50</f>
        <v>75</v>
      </c>
      <c r="Y51" s="184">
        <f>'район для расчетов (не печатать'!Y51+'Свод по посел.'!Y50</f>
        <v>75</v>
      </c>
      <c r="Z51" s="184">
        <f>'район для расчетов (не печатать'!Z51+'Свод по посел.'!Z50</f>
        <v>81</v>
      </c>
      <c r="AA51" s="214">
        <f>'район для расчетов (не печатать'!AA51+'Свод по посел.'!AA50</f>
        <v>236</v>
      </c>
      <c r="AB51" s="184">
        <f>'район для расчетов (не печатать'!AB51+'Свод по посел.'!AB50</f>
        <v>77</v>
      </c>
      <c r="AC51" s="184">
        <f>'район для расчетов (не печатать'!AC51+'Свод по посел.'!AC50</f>
        <v>77</v>
      </c>
      <c r="AD51" s="184">
        <f>'район для расчетов (не печатать'!AD51+'Свод по посел.'!AD50</f>
        <v>82</v>
      </c>
      <c r="AE51" s="179">
        <f t="shared" si="0"/>
        <v>930</v>
      </c>
    </row>
    <row r="52" spans="1:31" ht="13.5" thickBot="1">
      <c r="A52" s="16"/>
      <c r="B52" s="112"/>
      <c r="C52" s="46"/>
      <c r="D52" s="46"/>
      <c r="E52" s="46"/>
      <c r="F52" s="46"/>
      <c r="G52" s="46"/>
      <c r="H52" s="46"/>
      <c r="I52" s="46"/>
      <c r="J52" s="150"/>
      <c r="K52" s="172">
        <f>'район для расчетов (не печатать'!K52+'Свод по посел.'!K51</f>
        <v>0</v>
      </c>
      <c r="O52" s="214">
        <f>'район для расчетов (не печатать'!O52+'Свод по посел.'!L51</f>
        <v>0</v>
      </c>
      <c r="P52" s="184">
        <f>'район для расчетов (не печатать'!P52+'Свод по посел.'!P51</f>
        <v>0</v>
      </c>
      <c r="Q52" s="184">
        <f>'район для расчетов (не печатать'!Q52+'Свод по посел.'!Q51</f>
        <v>0</v>
      </c>
      <c r="R52" s="184">
        <f>'район для расчетов (не печатать'!R52+'Свод по посел.'!R51</f>
        <v>0</v>
      </c>
      <c r="S52" s="214">
        <f>'район для расчетов (не печатать'!S52+'Свод по посел.'!S51</f>
        <v>0</v>
      </c>
      <c r="T52" s="184">
        <f>'район для расчетов (не печатать'!T52+'Свод по посел.'!T51</f>
        <v>0</v>
      </c>
      <c r="U52" s="184">
        <f>'район для расчетов (не печатать'!U52+'Свод по посел.'!U51</f>
        <v>0</v>
      </c>
      <c r="V52" s="184">
        <f>'район для расчетов (не печатать'!V52+'Свод по посел.'!V51</f>
        <v>0</v>
      </c>
      <c r="W52" s="214">
        <f>'район для расчетов (не печатать'!W52+'Свод по посел.'!W51</f>
        <v>0</v>
      </c>
      <c r="X52" s="184">
        <f>'район для расчетов (не печатать'!X52+'Свод по посел.'!X51</f>
        <v>0</v>
      </c>
      <c r="Y52" s="184">
        <f>'район для расчетов (не печатать'!Y52+'Свод по посел.'!Y51</f>
        <v>0</v>
      </c>
      <c r="Z52" s="184">
        <f>'район для расчетов (не печатать'!Z52+'Свод по посел.'!Z51</f>
        <v>0</v>
      </c>
      <c r="AA52" s="214">
        <f>'район для расчетов (не печатать'!AA52+'Свод по посел.'!AA51</f>
        <v>0</v>
      </c>
      <c r="AB52" s="184">
        <f>'район для расчетов (не печатать'!AB52+'Свод по посел.'!AB51</f>
        <v>0</v>
      </c>
      <c r="AC52" s="184">
        <f>'район для расчетов (не печатать'!AC52+'Свод по посел.'!AC51</f>
        <v>0</v>
      </c>
      <c r="AD52" s="184">
        <f>'район для расчетов (не печатать'!AD52+'Свод по посел.'!AD51</f>
        <v>0</v>
      </c>
      <c r="AE52" s="179">
        <f t="shared" si="0"/>
        <v>0</v>
      </c>
    </row>
    <row r="53" spans="1:31" ht="13.5" thickBot="1">
      <c r="A53" s="16"/>
      <c r="B53" s="112"/>
      <c r="C53" s="46"/>
      <c r="D53" s="46"/>
      <c r="E53" s="46"/>
      <c r="F53" s="46"/>
      <c r="G53" s="46"/>
      <c r="H53" s="46"/>
      <c r="I53" s="46"/>
      <c r="J53" s="150"/>
      <c r="K53" s="172">
        <f>'район для расчетов (не печатать'!K53+'Свод по посел.'!K52</f>
        <v>0</v>
      </c>
      <c r="O53" s="214">
        <f>'район для расчетов (не печатать'!O53+'Свод по посел.'!L52</f>
        <v>0</v>
      </c>
      <c r="P53" s="184">
        <f>'район для расчетов (не печатать'!P53+'Свод по посел.'!P52</f>
        <v>0</v>
      </c>
      <c r="Q53" s="184">
        <f>'район для расчетов (не печатать'!Q53+'Свод по посел.'!Q52</f>
        <v>0</v>
      </c>
      <c r="R53" s="184">
        <f>'район для расчетов (не печатать'!R53+'Свод по посел.'!R52</f>
        <v>0</v>
      </c>
      <c r="S53" s="214">
        <f>'район для расчетов (не печатать'!S53+'Свод по посел.'!S52</f>
        <v>0</v>
      </c>
      <c r="T53" s="184">
        <f>'район для расчетов (не печатать'!T53+'Свод по посел.'!T52</f>
        <v>0</v>
      </c>
      <c r="U53" s="184">
        <f>'район для расчетов (не печатать'!U53+'Свод по посел.'!U52</f>
        <v>0</v>
      </c>
      <c r="V53" s="184">
        <f>'район для расчетов (не печатать'!V53+'Свод по посел.'!V52</f>
        <v>0</v>
      </c>
      <c r="W53" s="214">
        <f>'район для расчетов (не печатать'!W53+'Свод по посел.'!W52</f>
        <v>0</v>
      </c>
      <c r="X53" s="184">
        <f>'район для расчетов (не печатать'!X53+'Свод по посел.'!X52</f>
        <v>0</v>
      </c>
      <c r="Y53" s="184">
        <f>'район для расчетов (не печатать'!Y53+'Свод по посел.'!Y52</f>
        <v>0</v>
      </c>
      <c r="Z53" s="184">
        <f>'район для расчетов (не печатать'!Z53+'Свод по посел.'!Z52</f>
        <v>0</v>
      </c>
      <c r="AA53" s="214">
        <f>'район для расчетов (не печатать'!AA53+'Свод по посел.'!AA52</f>
        <v>0</v>
      </c>
      <c r="AB53" s="184">
        <f>'район для расчетов (не печатать'!AB53+'Свод по посел.'!AB52</f>
        <v>0</v>
      </c>
      <c r="AC53" s="184">
        <f>'район для расчетов (не печатать'!AC53+'Свод по посел.'!AC52</f>
        <v>0</v>
      </c>
      <c r="AD53" s="184">
        <f>'район для расчетов (не печатать'!AD53+'Свод по посел.'!AD52</f>
        <v>0</v>
      </c>
      <c r="AE53" s="179">
        <f t="shared" si="0"/>
        <v>0</v>
      </c>
    </row>
    <row r="54" spans="1:31" ht="24.75" thickBot="1">
      <c r="A54" s="123" t="s">
        <v>157</v>
      </c>
      <c r="B54" s="122" t="s">
        <v>154</v>
      </c>
      <c r="C54" s="115" t="s">
        <v>66</v>
      </c>
      <c r="D54" s="115" t="s">
        <v>19</v>
      </c>
      <c r="E54" s="115" t="s">
        <v>63</v>
      </c>
      <c r="F54" s="115" t="s">
        <v>52</v>
      </c>
      <c r="G54" s="115" t="s">
        <v>14</v>
      </c>
      <c r="H54" s="115" t="s">
        <v>15</v>
      </c>
      <c r="I54" s="115" t="s">
        <v>16</v>
      </c>
      <c r="J54" s="161" t="s">
        <v>65</v>
      </c>
      <c r="K54" s="172">
        <f>'район для расчетов (не печатать'!K54+'Свод по посел.'!K53</f>
        <v>220</v>
      </c>
      <c r="O54" s="214">
        <f>'район для расчетов (не печатать'!O54+'Свод по посел.'!L53</f>
        <v>54</v>
      </c>
      <c r="P54" s="184">
        <f>'район для расчетов (не печатать'!P54+'Свод по посел.'!P53</f>
        <v>15.5</v>
      </c>
      <c r="Q54" s="184">
        <f>'район для расчетов (не печатать'!Q54+'Свод по посел.'!Q53</f>
        <v>17.5</v>
      </c>
      <c r="R54" s="184">
        <f>'район для расчетов (не печатать'!R54+'Свод по посел.'!R53</f>
        <v>21</v>
      </c>
      <c r="S54" s="214">
        <f>'район для расчетов (не печатать'!S54+'Свод по посел.'!S53</f>
        <v>56</v>
      </c>
      <c r="T54" s="184">
        <f>'район для расчетов (не печатать'!T54+'Свод по посел.'!T53</f>
        <v>17</v>
      </c>
      <c r="U54" s="184">
        <f>'район для расчетов (не печатать'!U54+'Свод по посел.'!U53</f>
        <v>18</v>
      </c>
      <c r="V54" s="184">
        <f>'район для расчетов (не печатать'!V54+'Свод по посел.'!V53</f>
        <v>21</v>
      </c>
      <c r="W54" s="214">
        <f>'район для расчетов (не печатать'!W54+'Свод по посел.'!W53</f>
        <v>53</v>
      </c>
      <c r="X54" s="184">
        <f>'район для расчетов (не печатать'!X54+'Свод по посел.'!X53</f>
        <v>15.5</v>
      </c>
      <c r="Y54" s="184">
        <f>'район для расчетов (не печатать'!Y54+'Свод по посел.'!Y53</f>
        <v>17</v>
      </c>
      <c r="Z54" s="184">
        <f>'район для расчетов (не печатать'!Z54+'Свод по посел.'!Z53</f>
        <v>20.5</v>
      </c>
      <c r="AA54" s="214">
        <f>'район для расчетов (не печатать'!AA54+'Свод по посел.'!AA53</f>
        <v>57</v>
      </c>
      <c r="AB54" s="184">
        <f>'район для расчетов (не печатать'!AB54+'Свод по посел.'!AB53</f>
        <v>18</v>
      </c>
      <c r="AC54" s="184">
        <f>'район для расчетов (не печатать'!AC54+'Свод по посел.'!AC53</f>
        <v>18</v>
      </c>
      <c r="AD54" s="184">
        <f>'район для расчетов (не печатать'!AD54+'Свод по посел.'!AD53</f>
        <v>21</v>
      </c>
      <c r="AE54" s="179">
        <f t="shared" si="0"/>
        <v>220</v>
      </c>
    </row>
    <row r="55" spans="1:31" ht="24.75" thickBot="1">
      <c r="A55" s="24"/>
      <c r="B55" s="113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151" t="s">
        <v>65</v>
      </c>
      <c r="K55" s="172">
        <f>'район для расчетов (не печатать'!K55+'Свод по посел.'!K54</f>
        <v>220</v>
      </c>
      <c r="O55" s="214">
        <f>'район для расчетов (не печатать'!O55+'Свод по посел.'!L54</f>
        <v>54</v>
      </c>
      <c r="P55" s="184">
        <f>'район для расчетов (не печатать'!P55+'Свод по посел.'!P54</f>
        <v>15.5</v>
      </c>
      <c r="Q55" s="184">
        <f>'район для расчетов (не печатать'!Q55+'Свод по посел.'!Q54</f>
        <v>17.5</v>
      </c>
      <c r="R55" s="184">
        <f>'район для расчетов (не печатать'!R55+'Свод по посел.'!R54</f>
        <v>21</v>
      </c>
      <c r="S55" s="214">
        <f>'район для расчетов (не печатать'!S55+'Свод по посел.'!S54</f>
        <v>56</v>
      </c>
      <c r="T55" s="184">
        <f>'район для расчетов (не печатать'!T55+'Свод по посел.'!T54</f>
        <v>17</v>
      </c>
      <c r="U55" s="184">
        <f>'район для расчетов (не печатать'!U55+'Свод по посел.'!U54</f>
        <v>18</v>
      </c>
      <c r="V55" s="184">
        <f>'район для расчетов (не печатать'!V55+'Свод по посел.'!V54</f>
        <v>21</v>
      </c>
      <c r="W55" s="214">
        <f>'район для расчетов (не печатать'!W55+'Свод по посел.'!W54</f>
        <v>53</v>
      </c>
      <c r="X55" s="184">
        <f>'район для расчетов (не печатать'!X55+'Свод по посел.'!X54</f>
        <v>15.5</v>
      </c>
      <c r="Y55" s="184">
        <f>'район для расчетов (не печатать'!Y55+'Свод по посел.'!Y54</f>
        <v>17</v>
      </c>
      <c r="Z55" s="184">
        <f>'район для расчетов (не печатать'!Z55+'Свод по посел.'!Z54</f>
        <v>20.5</v>
      </c>
      <c r="AA55" s="214">
        <f>'район для расчетов (не печатать'!AA55+'Свод по посел.'!AA54</f>
        <v>57</v>
      </c>
      <c r="AB55" s="184">
        <f>'район для расчетов (не печатать'!AB55+'Свод по посел.'!AB54</f>
        <v>18</v>
      </c>
      <c r="AC55" s="184">
        <f>'район для расчетов (не печатать'!AC55+'Свод по посел.'!AC54</f>
        <v>18</v>
      </c>
      <c r="AD55" s="184">
        <f>'район для расчетов (не печатать'!AD55+'Свод по посел.'!AD54</f>
        <v>21</v>
      </c>
      <c r="AE55" s="179">
        <f t="shared" si="0"/>
        <v>220</v>
      </c>
    </row>
    <row r="56" spans="1:31" ht="13.5" thickBot="1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148" t="s">
        <v>14</v>
      </c>
      <c r="K56" s="303">
        <f>'район для расчетов (не печатать'!K56+'Свод по посел.'!K55</f>
        <v>500</v>
      </c>
      <c r="O56" s="214">
        <f>'район для расчетов (не печатать'!O56+'Свод по посел.'!L55</f>
        <v>100</v>
      </c>
      <c r="P56" s="184">
        <f>'район для расчетов (не печатать'!P56+'Свод по посел.'!P55</f>
        <v>0</v>
      </c>
      <c r="Q56" s="184">
        <f>'район для расчетов (не печатать'!Q56+'Свод по посел.'!Q55</f>
        <v>30</v>
      </c>
      <c r="R56" s="184">
        <f>'район для расчетов (не печатать'!R56+'Свод по посел.'!R55</f>
        <v>70</v>
      </c>
      <c r="S56" s="214">
        <f>'район для расчетов (не печатать'!S56+'Свод по посел.'!S55</f>
        <v>100</v>
      </c>
      <c r="T56" s="184">
        <f>'район для расчетов (не печатать'!T56+'Свод по посел.'!T55</f>
        <v>30</v>
      </c>
      <c r="U56" s="184">
        <f>'район для расчетов (не печатать'!U56+'Свод по посел.'!U55</f>
        <v>0</v>
      </c>
      <c r="V56" s="184">
        <f>'район для расчетов (не печатать'!V56+'Свод по посел.'!V55</f>
        <v>70</v>
      </c>
      <c r="W56" s="214">
        <f>'район для расчетов (не печатать'!W56+'Свод по посел.'!W55</f>
        <v>100</v>
      </c>
      <c r="X56" s="184">
        <f>'район для расчетов (не печатать'!X56+'Свод по посел.'!X55</f>
        <v>30</v>
      </c>
      <c r="Y56" s="184">
        <f>'район для расчетов (не печатать'!Y56+'Свод по посел.'!Y55</f>
        <v>0</v>
      </c>
      <c r="Z56" s="184">
        <f>'район для расчетов (не печатать'!Z56+'Свод по посел.'!Z55</f>
        <v>70</v>
      </c>
      <c r="AA56" s="214">
        <f>'район для расчетов (не печатать'!AA56+'Свод по посел.'!AA55</f>
        <v>200</v>
      </c>
      <c r="AB56" s="184">
        <f>'район для расчетов (не печатать'!AB56+'Свод по посел.'!AB55</f>
        <v>30</v>
      </c>
      <c r="AC56" s="184">
        <f>'район для расчетов (не печатать'!AC56+'Свод по посел.'!AC55</f>
        <v>50</v>
      </c>
      <c r="AD56" s="184">
        <f>'район для расчетов (не печатать'!AD56+'Свод по посел.'!AD55</f>
        <v>120</v>
      </c>
      <c r="AE56" s="179">
        <f t="shared" si="0"/>
        <v>500</v>
      </c>
    </row>
    <row r="57" spans="1:31" ht="12.75">
      <c r="A57" s="123" t="s">
        <v>71</v>
      </c>
      <c r="B57" s="114" t="s">
        <v>72</v>
      </c>
      <c r="C57" s="115" t="s">
        <v>156</v>
      </c>
      <c r="D57" s="115" t="s">
        <v>19</v>
      </c>
      <c r="E57" s="115" t="s">
        <v>70</v>
      </c>
      <c r="F57" s="115" t="s">
        <v>20</v>
      </c>
      <c r="G57" s="115" t="s">
        <v>14</v>
      </c>
      <c r="H57" s="115" t="s">
        <v>20</v>
      </c>
      <c r="I57" s="115" t="s">
        <v>16</v>
      </c>
      <c r="J57" s="161" t="s">
        <v>65</v>
      </c>
      <c r="K57" s="172">
        <f>'район для расчетов (не печатать'!K57+'Свод по посел.'!K56</f>
        <v>500</v>
      </c>
      <c r="O57" s="214">
        <f>'район для расчетов (не печатать'!O57+'Свод по посел.'!L56</f>
        <v>100</v>
      </c>
      <c r="P57" s="184">
        <f>'район для расчетов (не печатать'!P57+'Свод по посел.'!P56</f>
        <v>0</v>
      </c>
      <c r="Q57" s="184">
        <f>'район для расчетов (не печатать'!Q57+'Свод по посел.'!Q56</f>
        <v>30</v>
      </c>
      <c r="R57" s="184">
        <f>'район для расчетов (не печатать'!R57+'Свод по посел.'!R56</f>
        <v>70</v>
      </c>
      <c r="S57" s="214">
        <f>'район для расчетов (не печатать'!S57+'Свод по посел.'!S56</f>
        <v>100</v>
      </c>
      <c r="T57" s="184">
        <f>'район для расчетов (не печатать'!T57+'Свод по посел.'!T56</f>
        <v>30</v>
      </c>
      <c r="U57" s="184">
        <f>'район для расчетов (не печатать'!U57+'Свод по посел.'!U56</f>
        <v>0</v>
      </c>
      <c r="V57" s="184">
        <f>'район для расчетов (не печатать'!V57+'Свод по посел.'!V56</f>
        <v>70</v>
      </c>
      <c r="W57" s="214">
        <f>'район для расчетов (не печатать'!W57+'Свод по посел.'!W56</f>
        <v>100</v>
      </c>
      <c r="X57" s="184">
        <f>'район для расчетов (не печатать'!X57+'Свод по посел.'!X56</f>
        <v>30</v>
      </c>
      <c r="Y57" s="184">
        <f>'район для расчетов (не печатать'!Y57+'Свод по посел.'!Y56</f>
        <v>0</v>
      </c>
      <c r="Z57" s="184">
        <f>'район для расчетов (не печатать'!Z57+'Свод по посел.'!Z56</f>
        <v>70</v>
      </c>
      <c r="AA57" s="214">
        <f>'район для расчетов (не печатать'!AA57+'Свод по посел.'!AA56</f>
        <v>200</v>
      </c>
      <c r="AB57" s="184">
        <f>'район для расчетов (не печатать'!AB57+'Свод по посел.'!AB56</f>
        <v>30</v>
      </c>
      <c r="AC57" s="184">
        <f>'район для расчетов (не печатать'!AC57+'Свод по посел.'!AC56</f>
        <v>50</v>
      </c>
      <c r="AD57" s="184">
        <f>'район для расчетов (не печатать'!AD57+'Свод по посел.'!AD56</f>
        <v>120</v>
      </c>
      <c r="AE57" s="179">
        <f t="shared" si="0"/>
        <v>500</v>
      </c>
    </row>
    <row r="58" spans="1:31" ht="13.5" hidden="1" thickBot="1">
      <c r="A58" s="123" t="s">
        <v>73</v>
      </c>
      <c r="B58" s="114" t="s">
        <v>74</v>
      </c>
      <c r="C58" s="115" t="s">
        <v>14</v>
      </c>
      <c r="D58" s="115" t="s">
        <v>19</v>
      </c>
      <c r="E58" s="115" t="s">
        <v>70</v>
      </c>
      <c r="F58" s="115" t="s">
        <v>77</v>
      </c>
      <c r="G58" s="115" t="s">
        <v>14</v>
      </c>
      <c r="H58" s="115" t="s">
        <v>15</v>
      </c>
      <c r="I58" s="115" t="s">
        <v>16</v>
      </c>
      <c r="J58" s="161" t="s">
        <v>65</v>
      </c>
      <c r="K58" s="172">
        <f>'район для расчетов (не печатать'!K58+'Свод по посел.'!K57</f>
        <v>0</v>
      </c>
      <c r="O58" s="214">
        <f>'район для расчетов (не печатать'!O58+'Свод по посел.'!L57</f>
        <v>0</v>
      </c>
      <c r="P58" s="184">
        <f>'район для расчетов (не печатать'!P58+'Свод по посел.'!P57</f>
        <v>0</v>
      </c>
      <c r="Q58" s="184">
        <f>'район для расчетов (не печатать'!Q58+'Свод по посел.'!Q57</f>
        <v>0</v>
      </c>
      <c r="R58" s="184">
        <f>'район для расчетов (не печатать'!R58+'Свод по посел.'!R57</f>
        <v>0</v>
      </c>
      <c r="S58" s="214">
        <f>'район для расчетов (не печатать'!S58+'Свод по посел.'!S57</f>
        <v>0</v>
      </c>
      <c r="T58" s="184">
        <f>'район для расчетов (не печатать'!T58+'Свод по посел.'!T57</f>
        <v>0</v>
      </c>
      <c r="U58" s="184">
        <f>'район для расчетов (не печатать'!U58+'Свод по посел.'!U57</f>
        <v>0</v>
      </c>
      <c r="V58" s="184">
        <f>'район для расчетов (не печатать'!V58+'Свод по посел.'!V57</f>
        <v>0</v>
      </c>
      <c r="W58" s="214">
        <f>'район для расчетов (не печатать'!W58+'Свод по посел.'!W57</f>
        <v>0</v>
      </c>
      <c r="X58" s="184">
        <f>'район для расчетов (не печатать'!X58+'Свод по посел.'!X57</f>
        <v>0</v>
      </c>
      <c r="Y58" s="184">
        <f>'район для расчетов (не печатать'!Y58+'Свод по посел.'!Y57</f>
        <v>0</v>
      </c>
      <c r="Z58" s="184">
        <f>'район для расчетов (не печатать'!Z58+'Свод по посел.'!Z57</f>
        <v>0</v>
      </c>
      <c r="AA58" s="214">
        <f>'район для расчетов (не печатать'!AA58+'Свод по посел.'!AA57</f>
        <v>0</v>
      </c>
      <c r="AB58" s="184">
        <f>'район для расчетов (не печатать'!AB58+'Свод по посел.'!AB57</f>
        <v>0</v>
      </c>
      <c r="AC58" s="184">
        <f>'район для расчетов (не печатать'!AC58+'Свод по посел.'!AC57</f>
        <v>0</v>
      </c>
      <c r="AD58" s="184">
        <f>'район для расчетов (не печатать'!AD58+'Свод по посел.'!AD57</f>
        <v>0</v>
      </c>
      <c r="AE58" s="179">
        <f t="shared" si="0"/>
        <v>0</v>
      </c>
    </row>
    <row r="59" spans="1:31" ht="24.75" hidden="1" thickBot="1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150" t="s">
        <v>65</v>
      </c>
      <c r="K59" s="172">
        <f>'район для расчетов (не печатать'!K59+'Свод по посел.'!K58</f>
        <v>0</v>
      </c>
      <c r="O59" s="214">
        <f>'район для расчетов (не печатать'!O59+'Свод по посел.'!L58</f>
        <v>0</v>
      </c>
      <c r="P59" s="184">
        <f>'район для расчетов (не печатать'!P59+'Свод по посел.'!P58</f>
        <v>0</v>
      </c>
      <c r="Q59" s="184">
        <f>'район для расчетов (не печатать'!Q59+'Свод по посел.'!Q58</f>
        <v>0</v>
      </c>
      <c r="R59" s="184">
        <f>'район для расчетов (не печатать'!R59+'Свод по посел.'!R58</f>
        <v>0</v>
      </c>
      <c r="S59" s="214">
        <f>'район для расчетов (не печатать'!S59+'Свод по посел.'!S58</f>
        <v>0</v>
      </c>
      <c r="T59" s="184">
        <f>'район для расчетов (не печатать'!T59+'Свод по посел.'!T58</f>
        <v>0</v>
      </c>
      <c r="U59" s="184">
        <f>'район для расчетов (не печатать'!U59+'Свод по посел.'!U58</f>
        <v>0</v>
      </c>
      <c r="V59" s="184">
        <f>'район для расчетов (не печатать'!V59+'Свод по посел.'!V58</f>
        <v>0</v>
      </c>
      <c r="W59" s="214">
        <f>'район для расчетов (не печатать'!W59+'Свод по посел.'!W58</f>
        <v>0</v>
      </c>
      <c r="X59" s="184">
        <f>'район для расчетов (не печатать'!X59+'Свод по посел.'!X58</f>
        <v>0</v>
      </c>
      <c r="Y59" s="184">
        <f>'район для расчетов (не печатать'!Y59+'Свод по посел.'!Y58</f>
        <v>0</v>
      </c>
      <c r="Z59" s="184">
        <f>'район для расчетов (не печатать'!Z59+'Свод по посел.'!Z58</f>
        <v>0</v>
      </c>
      <c r="AA59" s="214">
        <f>'район для расчетов (не печатать'!AA59+'Свод по посел.'!AA58</f>
        <v>0</v>
      </c>
      <c r="AB59" s="184">
        <f>'район для расчетов (не печатать'!AB59+'Свод по посел.'!AB58</f>
        <v>0</v>
      </c>
      <c r="AC59" s="184">
        <f>'район для расчетов (не печатать'!AC59+'Свод по посел.'!AC58</f>
        <v>0</v>
      </c>
      <c r="AD59" s="184">
        <f>'район для расчетов (не печатать'!AD59+'Свод по посел.'!AD58</f>
        <v>0</v>
      </c>
      <c r="AE59" s="179">
        <f t="shared" si="0"/>
        <v>0</v>
      </c>
    </row>
    <row r="60" spans="1:31" ht="24.75" hidden="1" thickBot="1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150" t="s">
        <v>65</v>
      </c>
      <c r="K60" s="172">
        <f>'район для расчетов (не печатать'!K60+'Свод по посел.'!K59</f>
        <v>0</v>
      </c>
      <c r="O60" s="214">
        <f>'район для расчетов (не печатать'!O60+'Свод по посел.'!L59</f>
        <v>0</v>
      </c>
      <c r="P60" s="184">
        <f>'район для расчетов (не печатать'!P60+'Свод по посел.'!P59</f>
        <v>0</v>
      </c>
      <c r="Q60" s="184">
        <f>'район для расчетов (не печатать'!Q60+'Свод по посел.'!Q59</f>
        <v>0</v>
      </c>
      <c r="R60" s="184">
        <f>'район для расчетов (не печатать'!R60+'Свод по посел.'!R59</f>
        <v>0</v>
      </c>
      <c r="S60" s="214">
        <f>'район для расчетов (не печатать'!S60+'Свод по посел.'!S59</f>
        <v>0</v>
      </c>
      <c r="T60" s="184">
        <f>'район для расчетов (не печатать'!T60+'Свод по посел.'!T59</f>
        <v>0</v>
      </c>
      <c r="U60" s="184">
        <f>'район для расчетов (не печатать'!U60+'Свод по посел.'!U59</f>
        <v>0</v>
      </c>
      <c r="V60" s="184">
        <f>'район для расчетов (не печатать'!V60+'Свод по посел.'!V59</f>
        <v>0</v>
      </c>
      <c r="W60" s="214">
        <f>'район для расчетов (не печатать'!W60+'Свод по посел.'!W59</f>
        <v>0</v>
      </c>
      <c r="X60" s="184">
        <f>'район для расчетов (не печатать'!X60+'Свод по посел.'!X59</f>
        <v>0</v>
      </c>
      <c r="Y60" s="184">
        <f>'район для расчетов (не печатать'!Y60+'Свод по посел.'!Y59</f>
        <v>0</v>
      </c>
      <c r="Z60" s="184">
        <f>'район для расчетов (не печатать'!Z60+'Свод по посел.'!Z59</f>
        <v>0</v>
      </c>
      <c r="AA60" s="214">
        <f>'район для расчетов (не печатать'!AA60+'Свод по посел.'!AA59</f>
        <v>0</v>
      </c>
      <c r="AB60" s="184">
        <f>'район для расчетов (не печатать'!AB60+'Свод по посел.'!AB59</f>
        <v>0</v>
      </c>
      <c r="AC60" s="184">
        <f>'район для расчетов (не печатать'!AC60+'Свод по посел.'!AC59</f>
        <v>0</v>
      </c>
      <c r="AD60" s="184">
        <f>'район для расчетов (не печатать'!AD60+'Свод по посел.'!AD59</f>
        <v>0</v>
      </c>
      <c r="AE60" s="179">
        <f t="shared" si="0"/>
        <v>0</v>
      </c>
    </row>
    <row r="61" spans="1:31" ht="24.75" hidden="1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151" t="s">
        <v>65</v>
      </c>
      <c r="K61" s="172">
        <f>'район для расчетов (не печатать'!K61+'Свод по посел.'!K60</f>
        <v>0</v>
      </c>
      <c r="O61" s="214">
        <f>'район для расчетов (не печатать'!O61+'Свод по посел.'!L60</f>
        <v>0</v>
      </c>
      <c r="P61" s="184">
        <f>'район для расчетов (не печатать'!P61+'Свод по посел.'!P60</f>
        <v>0</v>
      </c>
      <c r="Q61" s="184">
        <f>'район для расчетов (не печатать'!Q61+'Свод по посел.'!Q60</f>
        <v>0</v>
      </c>
      <c r="R61" s="184">
        <f>'район для расчетов (не печатать'!R61+'Свод по посел.'!R60</f>
        <v>0</v>
      </c>
      <c r="S61" s="214">
        <f>'район для расчетов (не печатать'!S61+'Свод по посел.'!S60</f>
        <v>0</v>
      </c>
      <c r="T61" s="184">
        <f>'район для расчетов (не печатать'!T61+'Свод по посел.'!T60</f>
        <v>0</v>
      </c>
      <c r="U61" s="184">
        <f>'район для расчетов (не печатать'!U61+'Свод по посел.'!U60</f>
        <v>0</v>
      </c>
      <c r="V61" s="184">
        <f>'район для расчетов (не печатать'!V61+'Свод по посел.'!V60</f>
        <v>0</v>
      </c>
      <c r="W61" s="214">
        <f>'район для расчетов (не печатать'!W61+'Свод по посел.'!W60</f>
        <v>0</v>
      </c>
      <c r="X61" s="184">
        <f>'район для расчетов (не печатать'!X61+'Свод по посел.'!X60</f>
        <v>0</v>
      </c>
      <c r="Y61" s="184">
        <f>'район для расчетов (не печатать'!Y61+'Свод по посел.'!Y60</f>
        <v>0</v>
      </c>
      <c r="Z61" s="184">
        <f>'район для расчетов (не печатать'!Z61+'Свод по посел.'!Z60</f>
        <v>0</v>
      </c>
      <c r="AA61" s="214">
        <f>'район для расчетов (не печатать'!AA61+'Свод по посел.'!AA60</f>
        <v>0</v>
      </c>
      <c r="AB61" s="184">
        <f>'район для расчетов (не печатать'!AB61+'Свод по посел.'!AB60</f>
        <v>0</v>
      </c>
      <c r="AC61" s="184">
        <f>'район для расчетов (не печатать'!AC61+'Свод по посел.'!AC60</f>
        <v>0</v>
      </c>
      <c r="AD61" s="184">
        <f>'район для расчетов (не печатать'!AD61+'Свод по посел.'!AD60</f>
        <v>0</v>
      </c>
      <c r="AE61" s="179">
        <f t="shared" si="0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304">
        <f aca="true" t="shared" si="2" ref="K62:O63">K63</f>
        <v>550</v>
      </c>
      <c r="L62" s="68">
        <f t="shared" si="2"/>
        <v>0</v>
      </c>
      <c r="M62" s="68">
        <f t="shared" si="2"/>
        <v>0</v>
      </c>
      <c r="N62" s="68">
        <f t="shared" si="2"/>
        <v>0</v>
      </c>
      <c r="O62" s="224">
        <f t="shared" si="2"/>
        <v>0</v>
      </c>
      <c r="P62" s="68"/>
      <c r="Q62" s="68"/>
      <c r="R62" s="68"/>
      <c r="S62" s="224">
        <f>S63</f>
        <v>0</v>
      </c>
      <c r="T62" s="68"/>
      <c r="U62" s="68"/>
      <c r="V62" s="68"/>
      <c r="W62" s="224">
        <f>W63</f>
        <v>210</v>
      </c>
      <c r="X62" s="68"/>
      <c r="Y62" s="68"/>
      <c r="Z62" s="68"/>
      <c r="AA62" s="244">
        <v>150</v>
      </c>
      <c r="AB62" s="249"/>
      <c r="AC62" s="249"/>
      <c r="AD62" s="249"/>
      <c r="AE62" s="302">
        <f t="shared" si="0"/>
        <v>360</v>
      </c>
    </row>
    <row r="63" spans="1:31" ht="24.75" thickBot="1">
      <c r="A63" s="126" t="s">
        <v>115</v>
      </c>
      <c r="B63" s="272" t="s">
        <v>217</v>
      </c>
      <c r="C63" s="129" t="s">
        <v>66</v>
      </c>
      <c r="D63" s="129" t="s">
        <v>19</v>
      </c>
      <c r="E63" s="129" t="s">
        <v>218</v>
      </c>
      <c r="F63" s="129" t="s">
        <v>23</v>
      </c>
      <c r="G63" s="129" t="s">
        <v>219</v>
      </c>
      <c r="H63" s="129" t="s">
        <v>38</v>
      </c>
      <c r="I63" s="129" t="s">
        <v>16</v>
      </c>
      <c r="J63" s="129" t="s">
        <v>101</v>
      </c>
      <c r="K63" s="68">
        <v>550</v>
      </c>
      <c r="L63" s="68">
        <f t="shared" si="2"/>
        <v>0</v>
      </c>
      <c r="M63" s="68">
        <f t="shared" si="2"/>
        <v>0</v>
      </c>
      <c r="N63" s="68">
        <f t="shared" si="2"/>
        <v>0</v>
      </c>
      <c r="O63" s="224">
        <f t="shared" si="2"/>
        <v>0</v>
      </c>
      <c r="P63" s="68"/>
      <c r="Q63" s="68"/>
      <c r="R63" s="68"/>
      <c r="S63" s="224">
        <f>S64</f>
        <v>0</v>
      </c>
      <c r="T63" s="68"/>
      <c r="U63" s="68"/>
      <c r="V63" s="68"/>
      <c r="W63" s="224">
        <v>210</v>
      </c>
      <c r="X63" s="68">
        <v>50</v>
      </c>
      <c r="Y63" s="68">
        <v>80</v>
      </c>
      <c r="Z63" s="68">
        <v>80</v>
      </c>
      <c r="AA63" s="244">
        <v>240</v>
      </c>
      <c r="AB63" s="249">
        <v>80</v>
      </c>
      <c r="AC63" s="249">
        <v>80</v>
      </c>
      <c r="AD63" s="249">
        <v>80</v>
      </c>
      <c r="AE63" s="248">
        <f>SUM(O63:AD63)</f>
        <v>900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154" t="s">
        <v>118</v>
      </c>
      <c r="K64" s="172">
        <f>'район для расчетов (не печатать'!K64+'Свод по посел.'!K63</f>
        <v>0</v>
      </c>
      <c r="O64" s="214">
        <f>'район для расчетов (не печатать'!O64+'Свод по посел.'!L63</f>
        <v>0</v>
      </c>
      <c r="P64" s="184">
        <f>'район для расчетов (не печатать'!P64+'Свод по посел.'!P63</f>
        <v>0</v>
      </c>
      <c r="Q64" s="184">
        <f>'район для расчетов (не печатать'!Q64+'Свод по посел.'!Q63</f>
        <v>0</v>
      </c>
      <c r="R64" s="184">
        <f>'район для расчетов (не печатать'!R64+'Свод по посел.'!R63</f>
        <v>0</v>
      </c>
      <c r="S64" s="214">
        <f>'район для расчетов (не печатать'!S64+'Свод по посел.'!S63</f>
        <v>0</v>
      </c>
      <c r="T64" s="184">
        <f>'район для расчетов (не печатать'!T64+'Свод по посел.'!T63</f>
        <v>0</v>
      </c>
      <c r="U64" s="184">
        <f>'район для расчетов (не печатать'!U64+'Свод по посел.'!U63</f>
        <v>0</v>
      </c>
      <c r="V64" s="184">
        <f>'район для расчетов (не печатать'!V64+'Свод по посел.'!V63</f>
        <v>0</v>
      </c>
      <c r="W64" s="214">
        <f>'район для расчетов (не печатать'!W64+'Свод по посел.'!W63</f>
        <v>0</v>
      </c>
      <c r="X64" s="184">
        <f>'район для расчетов (не печатать'!X64+'Свод по посел.'!X63</f>
        <v>0</v>
      </c>
      <c r="Y64" s="184">
        <f>'район для расчетов (не печатать'!Y64+'Свод по посел.'!Y63</f>
        <v>0</v>
      </c>
      <c r="Z64" s="184">
        <f>'район для расчетов (не печатать'!Z64+'Свод по посел.'!Z63</f>
        <v>0</v>
      </c>
      <c r="AA64" s="214">
        <f>'район для расчетов (не печатать'!AA64+'Свод по посел.'!AA63</f>
        <v>0</v>
      </c>
      <c r="AB64" s="184">
        <f>'район для расчетов (не печатать'!AB64+'Свод по посел.'!AB63</f>
        <v>0</v>
      </c>
      <c r="AC64" s="184">
        <f>'район для расчетов (не печатать'!AC64+'Свод по посел.'!AC63</f>
        <v>0</v>
      </c>
      <c r="AD64" s="184">
        <f>'район для расчетов (не печатать'!AD64+'Свод по посел.'!AD63</f>
        <v>0</v>
      </c>
      <c r="AE64" s="179">
        <f t="shared" si="0"/>
        <v>0</v>
      </c>
    </row>
    <row r="65" spans="1:31" ht="13.5" hidden="1" thickBot="1">
      <c r="A65" s="29"/>
      <c r="B65" s="89"/>
      <c r="C65" s="54"/>
      <c r="D65" s="54"/>
      <c r="E65" s="54"/>
      <c r="F65" s="54"/>
      <c r="G65" s="54"/>
      <c r="H65" s="54"/>
      <c r="I65" s="54"/>
      <c r="J65" s="154"/>
      <c r="K65" s="172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  <c r="AE65" s="179">
        <f t="shared" si="0"/>
        <v>0</v>
      </c>
    </row>
    <row r="66" spans="1:31" ht="13.5" thickBot="1">
      <c r="A66" s="28" t="s">
        <v>111</v>
      </c>
      <c r="B66" s="90" t="s">
        <v>81</v>
      </c>
      <c r="C66" s="50" t="s">
        <v>14</v>
      </c>
      <c r="D66" s="50" t="s">
        <v>19</v>
      </c>
      <c r="E66" s="50" t="s">
        <v>82</v>
      </c>
      <c r="F66" s="50" t="s">
        <v>158</v>
      </c>
      <c r="G66" s="50" t="s">
        <v>85</v>
      </c>
      <c r="H66" s="50" t="s">
        <v>15</v>
      </c>
      <c r="I66" s="50" t="s">
        <v>16</v>
      </c>
      <c r="J66" s="152" t="s">
        <v>14</v>
      </c>
      <c r="K66" s="303">
        <f>'район для расчетов (не печатать'!K65+'Свод по посел.'!K64</f>
        <v>2000</v>
      </c>
      <c r="O66" s="214">
        <f>'район для расчетов (не печатать'!O65+'Свод по посел.'!L64</f>
        <v>302</v>
      </c>
      <c r="P66" s="184">
        <f>'район для расчетов (не печатать'!P65+'Свод по посел.'!P64</f>
        <v>0</v>
      </c>
      <c r="Q66" s="184">
        <f>'район для расчетов (не печатать'!Q65+'Свод по посел.'!Q64</f>
        <v>112</v>
      </c>
      <c r="R66" s="184">
        <f>'район для расчетов (не печатать'!R65+'Свод по посел.'!R64</f>
        <v>190</v>
      </c>
      <c r="S66" s="214">
        <f>'район для расчетов (не печатать'!S65+'Свод по посел.'!S64</f>
        <v>524</v>
      </c>
      <c r="T66" s="184">
        <f>'район для расчетов (не печатать'!T65+'Свод по посел.'!T64</f>
        <v>190</v>
      </c>
      <c r="U66" s="184">
        <f>'район для расчетов (не печатать'!U65+'Свод по посел.'!U64</f>
        <v>160</v>
      </c>
      <c r="V66" s="184">
        <f>'район для расчетов (не печатать'!V65+'Свод по посел.'!V64</f>
        <v>174</v>
      </c>
      <c r="W66" s="214">
        <f>'район для расчетов (не печатать'!W65+'Свод по посел.'!W64</f>
        <v>479</v>
      </c>
      <c r="X66" s="184">
        <f>'район для расчетов (не печатать'!X65+'Свод по посел.'!X64</f>
        <v>145</v>
      </c>
      <c r="Y66" s="184">
        <f>'район для расчетов (не печатать'!Y65+'Свод по посел.'!Y64</f>
        <v>167</v>
      </c>
      <c r="Z66" s="184">
        <f>'район для расчетов (не печатать'!Z65+'Свод по посел.'!Z64</f>
        <v>167</v>
      </c>
      <c r="AA66" s="214">
        <f>'район для расчетов (не печатать'!AA65+'Свод по посел.'!AA64</f>
        <v>695</v>
      </c>
      <c r="AB66" s="184">
        <f>'район для расчетов (не печатать'!AB65+'Свод по посел.'!AB64</f>
        <v>233</v>
      </c>
      <c r="AC66" s="184">
        <f>'район для расчетов (не печатать'!AC65+'Свод по посел.'!AC64</f>
        <v>233</v>
      </c>
      <c r="AD66" s="184">
        <f>'район для расчетов (не печатать'!AD65+'Свод по посел.'!AD64</f>
        <v>229</v>
      </c>
      <c r="AE66" s="179">
        <f t="shared" si="0"/>
        <v>2000</v>
      </c>
    </row>
    <row r="67" spans="1:31" ht="13.5" thickBot="1">
      <c r="A67" s="29" t="s">
        <v>112</v>
      </c>
      <c r="B67" s="132" t="s">
        <v>83</v>
      </c>
      <c r="C67" s="59" t="s">
        <v>66</v>
      </c>
      <c r="D67" s="59" t="s">
        <v>19</v>
      </c>
      <c r="E67" s="59" t="s">
        <v>84</v>
      </c>
      <c r="F67" s="59" t="s">
        <v>38</v>
      </c>
      <c r="G67" s="59" t="s">
        <v>159</v>
      </c>
      <c r="H67" s="59" t="s">
        <v>38</v>
      </c>
      <c r="I67" s="59" t="s">
        <v>16</v>
      </c>
      <c r="J67" s="163" t="s">
        <v>86</v>
      </c>
      <c r="K67" s="303">
        <f>'район для расчетов (не печатать'!K66+'Свод по посел.'!K65</f>
        <v>200</v>
      </c>
      <c r="O67" s="214">
        <f>'район для расчетов (не печатать'!O66+'Свод по посел.'!L65</f>
        <v>0</v>
      </c>
      <c r="P67" s="184">
        <f>'район для расчетов (не печатать'!P66+'Свод по посел.'!P65</f>
        <v>0</v>
      </c>
      <c r="Q67" s="184">
        <f>'район для расчетов (не печатать'!Q66+'Свод по посел.'!Q65</f>
        <v>0</v>
      </c>
      <c r="R67" s="184">
        <f>'район для расчетов (не печатать'!R66+'Свод по посел.'!R65</f>
        <v>0</v>
      </c>
      <c r="S67" s="214">
        <f>'район для расчетов (не печатать'!S66+'Свод по посел.'!S65</f>
        <v>114</v>
      </c>
      <c r="T67" s="184">
        <f>'район для расчетов (не печатать'!T66+'Свод по посел.'!T65</f>
        <v>0</v>
      </c>
      <c r="U67" s="184">
        <f>'район для расчетов (не печатать'!U66+'Свод по посел.'!U65</f>
        <v>0</v>
      </c>
      <c r="V67" s="184">
        <f>'район для расчетов (не печатать'!V66+'Свод по посел.'!V65</f>
        <v>114</v>
      </c>
      <c r="W67" s="214">
        <f>'район для расчетов (не печатать'!W66+'Свод по посел.'!W65</f>
        <v>43</v>
      </c>
      <c r="X67" s="184">
        <f>'район для расчетов (не печатать'!X66+'Свод по посел.'!X65</f>
        <v>0</v>
      </c>
      <c r="Y67" s="184">
        <f>'район для расчетов (не печатать'!Y66+'Свод по посел.'!Y65</f>
        <v>21</v>
      </c>
      <c r="Z67" s="184">
        <f>'район для расчетов (не печатать'!Z66+'Свод по посел.'!Z65</f>
        <v>22</v>
      </c>
      <c r="AA67" s="214">
        <f>'район для расчетов (не печатать'!AA66+'Свод по посел.'!AA65</f>
        <v>43</v>
      </c>
      <c r="AB67" s="184">
        <f>'район для расчетов (не печатать'!AB66+'Свод по посел.'!AB65</f>
        <v>14</v>
      </c>
      <c r="AC67" s="184">
        <f>'район для расчетов (не печатать'!AC66+'Свод по посел.'!AC65</f>
        <v>14</v>
      </c>
      <c r="AD67" s="184">
        <f>'район для расчетов (не печатать'!AD66+'Свод по посел.'!AD65</f>
        <v>15</v>
      </c>
      <c r="AE67" s="179">
        <f t="shared" si="0"/>
        <v>200</v>
      </c>
    </row>
    <row r="68" spans="1:32" ht="13.5" thickBot="1">
      <c r="A68" s="30" t="s">
        <v>87</v>
      </c>
      <c r="B68" s="91" t="s">
        <v>88</v>
      </c>
      <c r="C68" s="42" t="s">
        <v>14</v>
      </c>
      <c r="D68" s="42" t="s">
        <v>89</v>
      </c>
      <c r="E68" s="42" t="s">
        <v>15</v>
      </c>
      <c r="F68" s="42" t="s">
        <v>15</v>
      </c>
      <c r="G68" s="42" t="s">
        <v>14</v>
      </c>
      <c r="H68" s="42" t="s">
        <v>15</v>
      </c>
      <c r="I68" s="42" t="s">
        <v>16</v>
      </c>
      <c r="J68" s="148" t="s">
        <v>14</v>
      </c>
      <c r="K68" s="173">
        <f>K70+K74+K92+K104+K89+K90+K91</f>
        <v>228641.40000000002</v>
      </c>
      <c r="L68" s="173">
        <f aca="true" t="shared" si="3" ref="L68:AE68">L70+L74+L92+L104+L89+L90+L91</f>
        <v>0</v>
      </c>
      <c r="M68" s="173">
        <f t="shared" si="3"/>
        <v>0</v>
      </c>
      <c r="N68" s="173">
        <f t="shared" si="3"/>
        <v>0</v>
      </c>
      <c r="O68" s="173">
        <f t="shared" si="3"/>
        <v>57669</v>
      </c>
      <c r="P68" s="173">
        <f t="shared" si="3"/>
        <v>21689.5</v>
      </c>
      <c r="Q68" s="173">
        <f t="shared" si="3"/>
        <v>20540</v>
      </c>
      <c r="R68" s="173">
        <f t="shared" si="3"/>
        <v>15439.5</v>
      </c>
      <c r="S68" s="173">
        <f t="shared" si="3"/>
        <v>64039.1</v>
      </c>
      <c r="T68" s="173">
        <f t="shared" si="3"/>
        <v>18367.5</v>
      </c>
      <c r="U68" s="173">
        <f t="shared" si="3"/>
        <v>18368</v>
      </c>
      <c r="V68" s="173">
        <f t="shared" si="3"/>
        <v>27303.6</v>
      </c>
      <c r="W68" s="173">
        <f t="shared" si="3"/>
        <v>49594.8</v>
      </c>
      <c r="X68" s="173">
        <f t="shared" si="3"/>
        <v>16056</v>
      </c>
      <c r="Y68" s="173">
        <f t="shared" si="3"/>
        <v>16241.5</v>
      </c>
      <c r="Z68" s="173">
        <f t="shared" si="3"/>
        <v>17297.3</v>
      </c>
      <c r="AA68" s="173">
        <f t="shared" si="3"/>
        <v>57338.5</v>
      </c>
      <c r="AB68" s="173">
        <f t="shared" si="3"/>
        <v>19082.5</v>
      </c>
      <c r="AC68" s="173">
        <f t="shared" si="3"/>
        <v>19082.5</v>
      </c>
      <c r="AD68" s="173">
        <f t="shared" si="3"/>
        <v>19352.7</v>
      </c>
      <c r="AE68" s="173">
        <f t="shared" si="3"/>
        <v>224139.4</v>
      </c>
      <c r="AF68" s="308">
        <f>O68+S68+W68+AA68</f>
        <v>228641.40000000002</v>
      </c>
    </row>
    <row r="69" spans="1:31" ht="13.5" thickBot="1">
      <c r="A69" s="19"/>
      <c r="B69" s="17" t="s">
        <v>90</v>
      </c>
      <c r="C69" s="44" t="s">
        <v>14</v>
      </c>
      <c r="D69" s="44" t="s">
        <v>89</v>
      </c>
      <c r="E69" s="44" t="s">
        <v>23</v>
      </c>
      <c r="F69" s="44" t="s">
        <v>15</v>
      </c>
      <c r="G69" s="44" t="s">
        <v>14</v>
      </c>
      <c r="H69" s="44" t="s">
        <v>15</v>
      </c>
      <c r="I69" s="44" t="s">
        <v>16</v>
      </c>
      <c r="J69" s="149" t="s">
        <v>14</v>
      </c>
      <c r="K69" s="172">
        <f>'район для расчетов (не печатать'!K68+'Свод по посел.'!K67</f>
        <v>0</v>
      </c>
      <c r="O69" s="214">
        <f>'район для расчетов (не печатать'!O68+'Свод по посел.'!L67</f>
        <v>0</v>
      </c>
      <c r="P69" s="184">
        <f>'район для расчетов (не печатать'!P68+'Свод по посел.'!P67</f>
        <v>0</v>
      </c>
      <c r="Q69" s="184">
        <f>'район для расчетов (не печатать'!Q68+'Свод по посел.'!Q67</f>
        <v>0</v>
      </c>
      <c r="R69" s="184">
        <f>'район для расчетов (не печатать'!R68+'Свод по посел.'!R67</f>
        <v>0</v>
      </c>
      <c r="S69" s="214">
        <f>'район для расчетов (не печатать'!S68+'Свод по посел.'!S67</f>
        <v>0</v>
      </c>
      <c r="T69" s="184">
        <f>'район для расчетов (не печатать'!T68+'Свод по посел.'!T67</f>
        <v>0</v>
      </c>
      <c r="U69" s="184">
        <f>'район для расчетов (не печатать'!U68+'Свод по посел.'!U67</f>
        <v>0</v>
      </c>
      <c r="V69" s="184">
        <f>'район для расчетов (не печатать'!V68+'Свод по посел.'!V67</f>
        <v>0</v>
      </c>
      <c r="W69" s="214">
        <f>'район для расчетов (не печатать'!W68+'Свод по посел.'!W67</f>
        <v>0</v>
      </c>
      <c r="X69" s="184">
        <f>'район для расчетов (не печатать'!X68+'Свод по посел.'!X67</f>
        <v>0</v>
      </c>
      <c r="Y69" s="184">
        <f>'район для расчетов (не печатать'!Y68+'Свод по посел.'!Y67</f>
        <v>0</v>
      </c>
      <c r="Z69" s="184">
        <f>'район для расчетов (не печатать'!Z68+'Свод по посел.'!Z67</f>
        <v>0</v>
      </c>
      <c r="AA69" s="214">
        <f>'район для расчетов (не печатать'!AA68+'Свод по посел.'!AA67</f>
        <v>0</v>
      </c>
      <c r="AB69" s="184">
        <f>'район для расчетов (не печатать'!AB68+'Свод по посел.'!AB67</f>
        <v>0</v>
      </c>
      <c r="AC69" s="184">
        <f>'район для расчетов (не печатать'!AC68+'Свод по посел.'!AC67</f>
        <v>0</v>
      </c>
      <c r="AD69" s="184">
        <f>'район для расчетов (не печатать'!AD68+'Свод по посел.'!AD67</f>
        <v>0</v>
      </c>
      <c r="AE69" s="179">
        <f t="shared" si="0"/>
        <v>0</v>
      </c>
    </row>
    <row r="70" spans="1:31" ht="13.5" customHeight="1" thickBot="1">
      <c r="A70" s="109" t="s">
        <v>17</v>
      </c>
      <c r="B70" s="17" t="s">
        <v>161</v>
      </c>
      <c r="C70" s="44" t="s">
        <v>196</v>
      </c>
      <c r="D70" s="44" t="s">
        <v>89</v>
      </c>
      <c r="E70" s="44" t="s">
        <v>23</v>
      </c>
      <c r="F70" s="44" t="s">
        <v>20</v>
      </c>
      <c r="G70" s="44" t="s">
        <v>27</v>
      </c>
      <c r="H70" s="44" t="s">
        <v>15</v>
      </c>
      <c r="I70" s="44" t="s">
        <v>16</v>
      </c>
      <c r="J70" s="149" t="s">
        <v>91</v>
      </c>
      <c r="K70" s="298">
        <f>K72+K73</f>
        <v>79979</v>
      </c>
      <c r="L70" s="298">
        <f aca="true" t="shared" si="4" ref="L70:AA70">L72+L73</f>
        <v>0</v>
      </c>
      <c r="M70" s="298">
        <f t="shared" si="4"/>
        <v>0</v>
      </c>
      <c r="N70" s="298">
        <f t="shared" si="4"/>
        <v>0</v>
      </c>
      <c r="O70" s="298">
        <f t="shared" si="4"/>
        <v>16878</v>
      </c>
      <c r="P70" s="298">
        <f t="shared" si="4"/>
        <v>7379</v>
      </c>
      <c r="Q70" s="298">
        <f t="shared" si="4"/>
        <v>7232</v>
      </c>
      <c r="R70" s="298">
        <f t="shared" si="4"/>
        <v>2267</v>
      </c>
      <c r="S70" s="298">
        <f t="shared" si="4"/>
        <v>22832</v>
      </c>
      <c r="T70" s="298">
        <f t="shared" si="4"/>
        <v>5047</v>
      </c>
      <c r="U70" s="298">
        <f t="shared" si="4"/>
        <v>5047</v>
      </c>
      <c r="V70" s="298">
        <f t="shared" si="4"/>
        <v>12738</v>
      </c>
      <c r="W70" s="298">
        <f t="shared" si="4"/>
        <v>15553</v>
      </c>
      <c r="X70" s="298">
        <f t="shared" si="4"/>
        <v>5183</v>
      </c>
      <c r="Y70" s="298">
        <f t="shared" si="4"/>
        <v>5183</v>
      </c>
      <c r="Z70" s="298">
        <f t="shared" si="4"/>
        <v>5187</v>
      </c>
      <c r="AA70" s="298">
        <f t="shared" si="4"/>
        <v>24716</v>
      </c>
      <c r="AB70" s="172">
        <f>AB72</f>
        <v>8217</v>
      </c>
      <c r="AC70" s="172">
        <f>AC72</f>
        <v>8217</v>
      </c>
      <c r="AD70" s="172">
        <f>AD72</f>
        <v>8221</v>
      </c>
      <c r="AE70" s="179">
        <f t="shared" si="0"/>
        <v>79979</v>
      </c>
    </row>
    <row r="71" spans="1:31" ht="13.5" thickBot="1">
      <c r="A71" s="110" t="s">
        <v>102</v>
      </c>
      <c r="B71" s="135" t="s">
        <v>160</v>
      </c>
      <c r="C71" s="117" t="s">
        <v>196</v>
      </c>
      <c r="D71" s="117" t="s">
        <v>89</v>
      </c>
      <c r="E71" s="117" t="s">
        <v>23</v>
      </c>
      <c r="F71" s="117" t="s">
        <v>20</v>
      </c>
      <c r="G71" s="117" t="s">
        <v>27</v>
      </c>
      <c r="H71" s="117" t="s">
        <v>112</v>
      </c>
      <c r="I71" s="117" t="s">
        <v>16</v>
      </c>
      <c r="J71" s="162" t="s">
        <v>91</v>
      </c>
      <c r="K71" s="172"/>
      <c r="N71">
        <v>68152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  <c r="AE71" s="179">
        <f t="shared" si="0"/>
        <v>0</v>
      </c>
    </row>
    <row r="72" spans="1:31" ht="24.75" thickBot="1">
      <c r="A72" s="110" t="s">
        <v>162</v>
      </c>
      <c r="B72" s="135" t="s">
        <v>145</v>
      </c>
      <c r="C72" s="117" t="s">
        <v>196</v>
      </c>
      <c r="D72" s="117" t="s">
        <v>89</v>
      </c>
      <c r="E72" s="117" t="s">
        <v>23</v>
      </c>
      <c r="F72" s="117" t="s">
        <v>20</v>
      </c>
      <c r="G72" s="117" t="s">
        <v>27</v>
      </c>
      <c r="H72" s="117" t="s">
        <v>38</v>
      </c>
      <c r="I72" s="117" t="s">
        <v>16</v>
      </c>
      <c r="J72" s="162" t="s">
        <v>91</v>
      </c>
      <c r="K72" s="172">
        <f>'район для расчетов (не печатать'!K71+'Свод по посел.'!K70</f>
        <v>79734</v>
      </c>
      <c r="O72" s="214">
        <f>'район для расчетов (не печатать'!O71+'Свод по посел.'!L70</f>
        <v>16878</v>
      </c>
      <c r="P72" s="184">
        <f>'район для расчетов (не печатать'!P71+'Свод по посел.'!P70</f>
        <v>7379</v>
      </c>
      <c r="Q72" s="184">
        <f>'район для расчетов (не печатать'!Q71+'Свод по посел.'!Q70</f>
        <v>7232</v>
      </c>
      <c r="R72" s="184">
        <f>'район для расчетов (не печатать'!R71+'Свод по посел.'!R70</f>
        <v>2267</v>
      </c>
      <c r="S72" s="214">
        <f>'район для расчетов (не печатать'!S71+'Свод по посел.'!S70</f>
        <v>22832</v>
      </c>
      <c r="T72" s="184">
        <f>'район для расчетов (не печатать'!T71+'Свод по посел.'!T70</f>
        <v>5047</v>
      </c>
      <c r="U72" s="184">
        <f>'район для расчетов (не печатать'!U71+'Свод по посел.'!U70</f>
        <v>5047</v>
      </c>
      <c r="V72" s="184">
        <f>'район для расчетов (не печатать'!V71+'Свод по посел.'!V70</f>
        <v>12738</v>
      </c>
      <c r="W72" s="214">
        <f>'район для расчетов (не печатать'!W71+'Свод по посел.'!W70</f>
        <v>15369</v>
      </c>
      <c r="X72" s="184">
        <f>'район для расчетов (не печатать'!X71+'Свод по посел.'!X70</f>
        <v>5122</v>
      </c>
      <c r="Y72" s="184">
        <f>'район для расчетов (не печатать'!Y71+'Свод по посел.'!Y70</f>
        <v>5122</v>
      </c>
      <c r="Z72" s="184">
        <f>'район для расчетов (не печатать'!Z71+'Свод по посел.'!Z70</f>
        <v>5125</v>
      </c>
      <c r="AA72" s="214">
        <f>'район для расчетов (не печатать'!AA71+'Свод по посел.'!AA70</f>
        <v>24655</v>
      </c>
      <c r="AB72" s="184">
        <f>'район для расчетов (не печатать'!AB71+'Свод по посел.'!AB70</f>
        <v>8217</v>
      </c>
      <c r="AC72" s="184">
        <f>'район для расчетов (не печатать'!AC71+'Свод по посел.'!AC70</f>
        <v>8217</v>
      </c>
      <c r="AD72" s="184">
        <f>'район для расчетов (не печатать'!AD71+'Свод по посел.'!AD70</f>
        <v>8221</v>
      </c>
      <c r="AE72" s="179">
        <f t="shared" si="0"/>
        <v>79734</v>
      </c>
    </row>
    <row r="73" spans="1:31" ht="24.75" thickBot="1">
      <c r="A73" s="110" t="s">
        <v>164</v>
      </c>
      <c r="B73" s="135" t="s">
        <v>163</v>
      </c>
      <c r="C73" s="117" t="s">
        <v>196</v>
      </c>
      <c r="D73" s="117" t="s">
        <v>89</v>
      </c>
      <c r="E73" s="117" t="s">
        <v>23</v>
      </c>
      <c r="F73" s="117" t="s">
        <v>20</v>
      </c>
      <c r="G73" s="117" t="s">
        <v>197</v>
      </c>
      <c r="H73" s="117" t="s">
        <v>77</v>
      </c>
      <c r="I73" s="117" t="s">
        <v>16</v>
      </c>
      <c r="J73" s="162" t="s">
        <v>91</v>
      </c>
      <c r="K73" s="172">
        <f>'район для расчетов (не печатать'!K72+'Свод по посел.'!K71</f>
        <v>245</v>
      </c>
      <c r="O73" s="214">
        <f>'район для расчетов (не печатать'!O72+'Свод по посел.'!L71</f>
        <v>0</v>
      </c>
      <c r="P73" s="184">
        <f>'район для расчетов (не печатать'!P72+'Свод по посел.'!P71</f>
        <v>0</v>
      </c>
      <c r="Q73" s="184">
        <f>'район для расчетов (не печатать'!Q72+'Свод по посел.'!Q71</f>
        <v>0</v>
      </c>
      <c r="R73" s="184">
        <f>'район для расчетов (не печатать'!R72+'Свод по посел.'!R71</f>
        <v>0</v>
      </c>
      <c r="S73" s="214">
        <f>'район для расчетов (не печатать'!S72+'Свод по посел.'!S71</f>
        <v>0</v>
      </c>
      <c r="T73" s="184">
        <f>'район для расчетов (не печатать'!T72+'Свод по посел.'!T71</f>
        <v>0</v>
      </c>
      <c r="U73" s="184">
        <f>'район для расчетов (не печатать'!U72+'Свод по посел.'!U71</f>
        <v>0</v>
      </c>
      <c r="V73" s="184">
        <f>'район для расчетов (не печатать'!V72+'Свод по посел.'!V71</f>
        <v>0</v>
      </c>
      <c r="W73" s="214">
        <f>'район для расчетов (не печатать'!W72+'Свод по посел.'!W71</f>
        <v>184</v>
      </c>
      <c r="X73" s="184">
        <f>'район для расчетов (не печатать'!X72+'Свод по посел.'!X71</f>
        <v>61</v>
      </c>
      <c r="Y73" s="184">
        <f>'район для расчетов (не печатать'!Y72+'Свод по посел.'!Y71</f>
        <v>61</v>
      </c>
      <c r="Z73" s="184">
        <f>'район для расчетов (не печатать'!Z72+'Свод по посел.'!Z71</f>
        <v>62</v>
      </c>
      <c r="AA73" s="214">
        <f>'район для расчетов (не печатать'!AA72+'Свод по посел.'!AA71</f>
        <v>61</v>
      </c>
      <c r="AB73" s="184">
        <f>'район для расчетов (не печатать'!AB72+'Свод по посел.'!AB71</f>
        <v>20</v>
      </c>
      <c r="AC73" s="184">
        <f>'район для расчетов (не печатать'!AC72+'Свод по посел.'!AC71</f>
        <v>20</v>
      </c>
      <c r="AD73" s="184">
        <f>'район для расчетов (не печатать'!AD72+'Свод по посел.'!AD71</f>
        <v>21</v>
      </c>
      <c r="AE73" s="179">
        <f t="shared" si="0"/>
        <v>245</v>
      </c>
    </row>
    <row r="74" spans="1:31" ht="13.5" thickBot="1">
      <c r="A74" s="26" t="s">
        <v>36</v>
      </c>
      <c r="B74" s="17" t="s">
        <v>93</v>
      </c>
      <c r="C74" s="44" t="s">
        <v>14</v>
      </c>
      <c r="D74" s="44" t="s">
        <v>89</v>
      </c>
      <c r="E74" s="44" t="s">
        <v>23</v>
      </c>
      <c r="F74" s="44" t="s">
        <v>23</v>
      </c>
      <c r="G74" s="44" t="s">
        <v>14</v>
      </c>
      <c r="H74" s="44" t="s">
        <v>15</v>
      </c>
      <c r="I74" s="44" t="s">
        <v>16</v>
      </c>
      <c r="J74" s="149" t="s">
        <v>91</v>
      </c>
      <c r="K74" s="298">
        <f>K75+K76+K77+K78+K79+K80+K81+K82+K83+K84+K85+K86+K87+K88</f>
        <v>100241.40000000001</v>
      </c>
      <c r="L74" s="298">
        <f aca="true" t="shared" si="5" ref="L74:AA74">L75+L76+L77+L78+L79+L80+L81+L82+L83+L84+L85+L86+L87+L88</f>
        <v>0</v>
      </c>
      <c r="M74" s="298">
        <f t="shared" si="5"/>
        <v>0</v>
      </c>
      <c r="N74" s="298">
        <f t="shared" si="5"/>
        <v>0</v>
      </c>
      <c r="O74" s="298">
        <f t="shared" si="5"/>
        <v>27554</v>
      </c>
      <c r="P74" s="298">
        <f t="shared" si="5"/>
        <v>9083</v>
      </c>
      <c r="Q74" s="298">
        <f t="shared" si="5"/>
        <v>9083</v>
      </c>
      <c r="R74" s="298">
        <f t="shared" si="5"/>
        <v>9388</v>
      </c>
      <c r="S74" s="298">
        <f t="shared" si="5"/>
        <v>30092.1</v>
      </c>
      <c r="T74" s="298">
        <f t="shared" si="5"/>
        <v>9802</v>
      </c>
      <c r="U74" s="298">
        <f t="shared" si="5"/>
        <v>9804</v>
      </c>
      <c r="V74" s="298">
        <f t="shared" si="5"/>
        <v>10486.1</v>
      </c>
      <c r="W74" s="298">
        <f t="shared" si="5"/>
        <v>18591.3</v>
      </c>
      <c r="X74" s="298">
        <f t="shared" si="5"/>
        <v>6193</v>
      </c>
      <c r="Y74" s="298">
        <f t="shared" si="5"/>
        <v>6194</v>
      </c>
      <c r="Z74" s="298">
        <f t="shared" si="5"/>
        <v>6204.3</v>
      </c>
      <c r="AA74" s="298">
        <f t="shared" si="5"/>
        <v>24004</v>
      </c>
      <c r="AB74" s="184">
        <f>'район для расчетов (не печатать'!AB73+'Свод по посел.'!AB72</f>
        <v>7998</v>
      </c>
      <c r="AC74" s="184">
        <f>'район для расчетов (не печатать'!AC73+'Свод по посел.'!AC72</f>
        <v>7998</v>
      </c>
      <c r="AD74" s="184">
        <f>'район для расчетов (не печатать'!AD73+'Свод по посел.'!AD72</f>
        <v>8010</v>
      </c>
      <c r="AE74" s="179">
        <f t="shared" si="0"/>
        <v>100241.4</v>
      </c>
    </row>
    <row r="75" spans="1:31" ht="96.75" thickBot="1">
      <c r="A75" s="25" t="s">
        <v>39</v>
      </c>
      <c r="B75" s="92" t="s">
        <v>136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150" t="s">
        <v>91</v>
      </c>
      <c r="K75" s="172">
        <f>'район для расчетов (не печатать'!K74+'Свод по посел.'!K73</f>
        <v>73979</v>
      </c>
      <c r="O75" s="214">
        <f>'район для расчетов (не печатать'!O74+'Свод по посел.'!L73</f>
        <v>21943</v>
      </c>
      <c r="P75" s="184">
        <f>'район для расчетов (не печатать'!P74+'Свод по посел.'!P73</f>
        <v>7314</v>
      </c>
      <c r="Q75" s="184">
        <f>'район для расчетов (не печатать'!Q74+'Свод по посел.'!Q73</f>
        <v>7314</v>
      </c>
      <c r="R75" s="184">
        <f>'район для расчетов (не печатать'!R74+'Свод по посел.'!R73</f>
        <v>7315</v>
      </c>
      <c r="S75" s="214">
        <f>'район для расчетов (не печатать'!S74+'Свод по посел.'!S73</f>
        <v>24396</v>
      </c>
      <c r="T75" s="184">
        <f>'район для расчетов (не печатать'!T74+'Свод по посел.'!T73</f>
        <v>8132</v>
      </c>
      <c r="U75" s="184">
        <f>'район для расчетов (не печатать'!U74+'Свод по посел.'!U73</f>
        <v>8132</v>
      </c>
      <c r="V75" s="184">
        <f>'район для расчетов (не печатать'!V74+'Свод по посел.'!V73</f>
        <v>8132</v>
      </c>
      <c r="W75" s="214">
        <f>'район для расчетов (не печатать'!W74+'Свод по посел.'!W73</f>
        <v>10559</v>
      </c>
      <c r="X75" s="184">
        <f>'район для расчетов (не печатать'!X74+'Свод по посел.'!X73</f>
        <v>3519</v>
      </c>
      <c r="Y75" s="184">
        <f>'район для расчетов (не печатать'!Y74+'Свод по посел.'!Y73</f>
        <v>3519</v>
      </c>
      <c r="Z75" s="184">
        <f>'район для расчетов (не печатать'!Z74+'Свод по посел.'!Z73</f>
        <v>3521</v>
      </c>
      <c r="AA75" s="214">
        <f>'район для расчетов (не печатать'!AA74+'Свод по посел.'!AA73</f>
        <v>17081</v>
      </c>
      <c r="AB75" s="184">
        <f>'район для расчетов (не печатать'!AB74+'Свод по посел.'!AB73</f>
        <v>5693</v>
      </c>
      <c r="AC75" s="184">
        <f>'район для расчетов (не печатать'!AC74+'Свод по посел.'!AC73</f>
        <v>5693</v>
      </c>
      <c r="AD75" s="184">
        <f>'район для расчетов (не печатать'!AD74+'Свод по посел.'!AD73</f>
        <v>5695</v>
      </c>
      <c r="AE75" s="179">
        <f t="shared" si="0"/>
        <v>73979</v>
      </c>
    </row>
    <row r="76" spans="1:31" ht="24.75" thickBot="1">
      <c r="A76" s="25" t="s">
        <v>41</v>
      </c>
      <c r="B76" s="92" t="s">
        <v>137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150" t="s">
        <v>91</v>
      </c>
      <c r="K76" s="172">
        <f>'район для расчетов (не печатать'!K75+'Свод по посел.'!K74</f>
        <v>192</v>
      </c>
      <c r="O76" s="214">
        <f>'район для расчетов (не печатать'!O75+'Свод по посел.'!L74</f>
        <v>48</v>
      </c>
      <c r="P76" s="184">
        <f>'район для расчетов (не печатать'!P75+'Свод по посел.'!P74</f>
        <v>16</v>
      </c>
      <c r="Q76" s="184">
        <f>'район для расчетов (не печатать'!Q75+'Свод по посел.'!Q74</f>
        <v>16</v>
      </c>
      <c r="R76" s="184">
        <f>'район для расчетов (не печатать'!R75+'Свод по посел.'!R74</f>
        <v>16</v>
      </c>
      <c r="S76" s="214">
        <f>'район для расчетов (не печатать'!S75+'Свод по посел.'!S74</f>
        <v>48</v>
      </c>
      <c r="T76" s="184">
        <f>'район для расчетов (не печатать'!T75+'Свод по посел.'!T74</f>
        <v>16</v>
      </c>
      <c r="U76" s="184">
        <f>'район для расчетов (не печатать'!U75+'Свод по посел.'!U74</f>
        <v>16</v>
      </c>
      <c r="V76" s="184">
        <f>'район для расчетов (не печатать'!V75+'Свод по посел.'!V74</f>
        <v>16</v>
      </c>
      <c r="W76" s="214">
        <f>'район для расчетов (не печатать'!W75+'Свод по посел.'!W74</f>
        <v>48</v>
      </c>
      <c r="X76" s="184">
        <f>'район для расчетов (не печатать'!X75+'Свод по посел.'!X74</f>
        <v>16</v>
      </c>
      <c r="Y76" s="184">
        <f>'район для расчетов (не печатать'!Y75+'Свод по посел.'!Y74</f>
        <v>16</v>
      </c>
      <c r="Z76" s="184">
        <f>'район для расчетов (не печатать'!Z75+'Свод по посел.'!Z74</f>
        <v>16</v>
      </c>
      <c r="AA76" s="214">
        <f>'район для расчетов (не печатать'!AA75+'Свод по посел.'!AA74</f>
        <v>48</v>
      </c>
      <c r="AB76" s="184">
        <f>'район для расчетов (не печатать'!AB75+'Свод по посел.'!AB74</f>
        <v>16</v>
      </c>
      <c r="AC76" s="184">
        <f>'район для расчетов (не печатать'!AC75+'Свод по посел.'!AC74</f>
        <v>16</v>
      </c>
      <c r="AD76" s="184">
        <f>'район для расчетов (не печатать'!AD75+'Свод по посел.'!AD74</f>
        <v>16</v>
      </c>
      <c r="AE76" s="179">
        <f t="shared" si="0"/>
        <v>192</v>
      </c>
    </row>
    <row r="77" spans="1:31" ht="24.75" thickBot="1">
      <c r="A77" s="25" t="s">
        <v>94</v>
      </c>
      <c r="B77" s="92" t="s">
        <v>138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150" t="s">
        <v>91</v>
      </c>
      <c r="K77" s="172">
        <f>'район для расчетов (не печатать'!K76+'Свод по посел.'!K75</f>
        <v>3526</v>
      </c>
      <c r="O77" s="214">
        <f>'район для расчетов (не печатать'!O76+'Свод по посел.'!L75</f>
        <v>881</v>
      </c>
      <c r="P77" s="184">
        <f>'район для расчетов (не печатать'!P76+'Свод по посел.'!P75</f>
        <v>293</v>
      </c>
      <c r="Q77" s="184">
        <f>'район для расчетов (не печатать'!Q76+'Свод по посел.'!Q75</f>
        <v>293</v>
      </c>
      <c r="R77" s="184">
        <f>'район для расчетов (не печатать'!R76+'Свод по посел.'!R75</f>
        <v>295</v>
      </c>
      <c r="S77" s="214">
        <f>'район для расчетов (не печатать'!S76+'Свод по посел.'!S75</f>
        <v>882</v>
      </c>
      <c r="T77" s="184">
        <f>'район для расчетов (не печатать'!T76+'Свод по посел.'!T75</f>
        <v>294</v>
      </c>
      <c r="U77" s="184">
        <f>'район для расчетов (не печатать'!U76+'Свод по посел.'!U75</f>
        <v>295</v>
      </c>
      <c r="V77" s="184">
        <f>'район для расчетов (не печатать'!V76+'Свод по посел.'!V75</f>
        <v>293</v>
      </c>
      <c r="W77" s="214">
        <f>'район для расчетов (не печатать'!W76+'Свод по посел.'!W75</f>
        <v>882</v>
      </c>
      <c r="X77" s="184">
        <f>'район для расчетов (не печатать'!X76+'Свод по посел.'!X75</f>
        <v>294</v>
      </c>
      <c r="Y77" s="184">
        <f>'район для расчетов (не печатать'!Y76+'Свод по посел.'!Y75</f>
        <v>295</v>
      </c>
      <c r="Z77" s="184">
        <f>'район для расчетов (не печатать'!Z76+'Свод по посел.'!Z75</f>
        <v>293</v>
      </c>
      <c r="AA77" s="214">
        <f>'район для расчетов (не печатать'!AA76+'Свод по посел.'!AA75</f>
        <v>881</v>
      </c>
      <c r="AB77" s="184">
        <f>'район для расчетов (не печатать'!AB76+'Свод по посел.'!AB75</f>
        <v>295</v>
      </c>
      <c r="AC77" s="184">
        <f>'район для расчетов (не печатать'!AC76+'Свод по посел.'!AC75</f>
        <v>293</v>
      </c>
      <c r="AD77" s="184">
        <f>'район для расчетов (не печатать'!AD76+'Свод по посел.'!AD75</f>
        <v>293</v>
      </c>
      <c r="AE77" s="179">
        <f t="shared" si="0"/>
        <v>3526</v>
      </c>
    </row>
    <row r="78" spans="1:31" ht="24.75" thickBot="1">
      <c r="A78" s="25" t="s">
        <v>95</v>
      </c>
      <c r="B78" s="93" t="s">
        <v>139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150" t="s">
        <v>91</v>
      </c>
      <c r="K78" s="172">
        <f>'район для расчетов (не печатать'!K77+'Свод по посел.'!K76</f>
        <v>33</v>
      </c>
      <c r="O78" s="214">
        <f>'район для расчетов (не печатать'!O77+'Свод по посел.'!L76</f>
        <v>9</v>
      </c>
      <c r="P78" s="184">
        <f>'район для расчетов (не печатать'!P77+'Свод по посел.'!P76</f>
        <v>3</v>
      </c>
      <c r="Q78" s="184">
        <f>'район для расчетов (не печатать'!Q77+'Свод по посел.'!Q76</f>
        <v>3</v>
      </c>
      <c r="R78" s="184">
        <f>'район для расчетов (не печатать'!R77+'Свод по посел.'!R76</f>
        <v>3</v>
      </c>
      <c r="S78" s="214">
        <f>'район для расчетов (не печатать'!S77+'Свод по посел.'!S76</f>
        <v>8</v>
      </c>
      <c r="T78" s="184">
        <f>'район для расчетов (не печатать'!T77+'Свод по посел.'!T76</f>
        <v>2</v>
      </c>
      <c r="U78" s="184">
        <f>'район для расчетов (не печатать'!U77+'Свод по посел.'!U76</f>
        <v>3</v>
      </c>
      <c r="V78" s="184">
        <f>'район для расчетов (не печатать'!V77+'Свод по посел.'!V76</f>
        <v>3</v>
      </c>
      <c r="W78" s="214">
        <f>'район для расчетов (не печатать'!W77+'Свод по посел.'!W76</f>
        <v>8</v>
      </c>
      <c r="X78" s="184">
        <f>'район для расчетов (не печатать'!X77+'Свод по посел.'!X76</f>
        <v>2</v>
      </c>
      <c r="Y78" s="184">
        <f>'район для расчетов (не печатать'!Y77+'Свод по посел.'!Y76</f>
        <v>3</v>
      </c>
      <c r="Z78" s="184">
        <f>'район для расчетов (не печатать'!Z77+'Свод по посел.'!Z76</f>
        <v>3</v>
      </c>
      <c r="AA78" s="214">
        <f>'район для расчетов (не печатать'!AA77+'Свод по посел.'!AA76</f>
        <v>8</v>
      </c>
      <c r="AB78" s="184">
        <f>'район для расчетов (не печатать'!AB77+'Свод по посел.'!AB76</f>
        <v>2</v>
      </c>
      <c r="AC78" s="184">
        <f>'район для расчетов (не печатать'!AC77+'Свод по посел.'!AC76</f>
        <v>3</v>
      </c>
      <c r="AD78" s="184">
        <f>'район для расчетов (не печатать'!AD77+'Свод по посел.'!AD76</f>
        <v>3</v>
      </c>
      <c r="AE78" s="179">
        <f t="shared" si="0"/>
        <v>33</v>
      </c>
    </row>
    <row r="79" spans="1:31" ht="36.75" thickBot="1">
      <c r="A79" s="25" t="s">
        <v>109</v>
      </c>
      <c r="B79" s="93" t="s">
        <v>140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150" t="s">
        <v>91</v>
      </c>
      <c r="K79" s="172">
        <f>'район для расчетов (не печатать'!K78+'Свод по посел.'!K77</f>
        <v>2627</v>
      </c>
      <c r="O79" s="214">
        <f>'район для расчетов (не печатать'!O78+'Свод по посел.'!L77</f>
        <v>657</v>
      </c>
      <c r="P79" s="184">
        <f>'район для расчетов (не печатать'!P78+'Свод по посел.'!P77</f>
        <v>219</v>
      </c>
      <c r="Q79" s="184">
        <f>'район для расчетов (не печатать'!Q78+'Свод по посел.'!Q77</f>
        <v>219</v>
      </c>
      <c r="R79" s="184">
        <f>'район для расчетов (не печатать'!R78+'Свод по посел.'!R77</f>
        <v>219</v>
      </c>
      <c r="S79" s="214">
        <f>'район для расчетов (не печатать'!S78+'Свод по посел.'!S77</f>
        <v>657</v>
      </c>
      <c r="T79" s="184">
        <f>'район для расчетов (не печатать'!T78+'Свод по посел.'!T77</f>
        <v>219</v>
      </c>
      <c r="U79" s="184">
        <f>'район для расчетов (не печатать'!U78+'Свод по посел.'!U77</f>
        <v>219</v>
      </c>
      <c r="V79" s="184">
        <f>'район для расчетов (не печатать'!V78+'Свод по посел.'!V77</f>
        <v>219</v>
      </c>
      <c r="W79" s="214">
        <f>'район для расчетов (не печатать'!W78+'Свод по посел.'!W77</f>
        <v>657</v>
      </c>
      <c r="X79" s="184">
        <f>'район для расчетов (не печатать'!X78+'Свод по посел.'!X77</f>
        <v>219</v>
      </c>
      <c r="Y79" s="184">
        <f>'район для расчетов (не печатать'!Y78+'Свод по посел.'!Y77</f>
        <v>219</v>
      </c>
      <c r="Z79" s="184">
        <f>'район для расчетов (не печатать'!Z78+'Свод по посел.'!Z77</f>
        <v>219</v>
      </c>
      <c r="AA79" s="214">
        <f>'район для расчетов (не печатать'!AA78+'Свод по посел.'!AA77</f>
        <v>656</v>
      </c>
      <c r="AB79" s="184">
        <f>'район для расчетов (не печатать'!AB78+'Свод по посел.'!AB77</f>
        <v>219</v>
      </c>
      <c r="AC79" s="184">
        <f>'район для расчетов (не печатать'!AC78+'Свод по посел.'!AC77</f>
        <v>219</v>
      </c>
      <c r="AD79" s="184">
        <f>'район для расчетов (не печатать'!AD78+'Свод по посел.'!AD77</f>
        <v>218</v>
      </c>
      <c r="AE79" s="179">
        <f t="shared" si="0"/>
        <v>2627</v>
      </c>
    </row>
    <row r="80" spans="1:31" ht="48.75" thickBot="1">
      <c r="A80" s="25" t="s">
        <v>110</v>
      </c>
      <c r="B80" s="93" t="s">
        <v>141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150" t="s">
        <v>91</v>
      </c>
      <c r="K80" s="172">
        <f>'район для расчетов (не печатать'!K79+'Свод по посел.'!K78</f>
        <v>7607</v>
      </c>
      <c r="O80" s="214">
        <f>'район для расчетов (не печатать'!O79+'Свод по посел.'!L78</f>
        <v>1283</v>
      </c>
      <c r="P80" s="184">
        <f>'район для расчетов (не печатать'!P79+'Свод по посел.'!P78</f>
        <v>427</v>
      </c>
      <c r="Q80" s="184">
        <f>'район для расчетов (не печатать'!Q79+'Свод по посел.'!Q78</f>
        <v>427</v>
      </c>
      <c r="R80" s="184">
        <f>'район для расчетов (не печатать'!R79+'Свод по посел.'!R78</f>
        <v>429</v>
      </c>
      <c r="S80" s="214">
        <f>'район для расчетов (не печатать'!S79+'Свод по посел.'!S78</f>
        <v>1607</v>
      </c>
      <c r="T80" s="184">
        <f>'район для расчетов (не печатать'!T79+'Свод по посел.'!T78</f>
        <v>427</v>
      </c>
      <c r="U80" s="184">
        <f>'район для расчетов (не печатать'!U79+'Свод по посел.'!U78</f>
        <v>427</v>
      </c>
      <c r="V80" s="184">
        <f>'район для расчетов (не печатать'!V79+'Свод по посел.'!V78</f>
        <v>753</v>
      </c>
      <c r="W80" s="214">
        <f>'район для расчетов (не печатать'!W79+'Свод по посел.'!W78</f>
        <v>2331</v>
      </c>
      <c r="X80" s="184">
        <f>'район для расчетов (не печатать'!X79+'Свод по посел.'!X78</f>
        <v>777</v>
      </c>
      <c r="Y80" s="184">
        <f>'район для расчетов (не печатать'!Y79+'Свод по посел.'!Y78</f>
        <v>776</v>
      </c>
      <c r="Z80" s="184">
        <f>'район для расчетов (не печатать'!Z79+'Свод по посел.'!Z78</f>
        <v>778</v>
      </c>
      <c r="AA80" s="214">
        <f>'район для расчетов (не печатать'!AA79+'Свод по посел.'!AA78</f>
        <v>2386</v>
      </c>
      <c r="AB80" s="184">
        <f>'район для расчетов (не печатать'!AB79+'Свод по посел.'!AB78</f>
        <v>794</v>
      </c>
      <c r="AC80" s="184">
        <f>'район для расчетов (не печатать'!AC79+'Свод по посел.'!AC78</f>
        <v>795</v>
      </c>
      <c r="AD80" s="184">
        <f>'район для расчетов (не печатать'!AD79+'Свод по посел.'!AD78</f>
        <v>797</v>
      </c>
      <c r="AE80" s="179">
        <f t="shared" si="0"/>
        <v>7607</v>
      </c>
    </row>
    <row r="81" spans="1:31" ht="36.75" thickBot="1">
      <c r="A81" s="25" t="s">
        <v>202</v>
      </c>
      <c r="B81" s="93" t="s">
        <v>142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150" t="s">
        <v>91</v>
      </c>
      <c r="K81" s="172">
        <f>'район для расчетов (не печатать'!K80+'Свод по посел.'!K79</f>
        <v>5635</v>
      </c>
      <c r="O81" s="214">
        <f>'район для расчетов (не печатать'!O80+'Свод по посел.'!L79</f>
        <v>1625</v>
      </c>
      <c r="P81" s="184">
        <f>'район для расчетов (не печатать'!P80+'Свод по посел.'!P79</f>
        <v>442</v>
      </c>
      <c r="Q81" s="184">
        <f>'район для расчетов (не печатать'!Q80+'Свод по посел.'!Q79</f>
        <v>442</v>
      </c>
      <c r="R81" s="184">
        <f>'район для расчетов (не печатать'!R80+'Свод по посел.'!R79</f>
        <v>741</v>
      </c>
      <c r="S81" s="214">
        <f>'район для расчетов (не печатать'!S80+'Свод по посел.'!S79</f>
        <v>1159</v>
      </c>
      <c r="T81" s="184">
        <f>'район для расчетов (не печатать'!T80+'Свод по посел.'!T79</f>
        <v>343</v>
      </c>
      <c r="U81" s="184">
        <f>'район для расчетов (не печатать'!U80+'Свод по посел.'!U79</f>
        <v>343</v>
      </c>
      <c r="V81" s="184">
        <f>'район для расчетов (не печатать'!V80+'Свод по посел.'!V79</f>
        <v>473</v>
      </c>
      <c r="W81" s="214">
        <f>'район для расчетов (не печатать'!W80+'Свод по посел.'!W79</f>
        <v>1414</v>
      </c>
      <c r="X81" s="184">
        <f>'район для расчетов (не печатать'!X80+'Свод по посел.'!X79</f>
        <v>471</v>
      </c>
      <c r="Y81" s="184">
        <f>'район для расчетов (не печатать'!Y80+'Свод по посел.'!Y79</f>
        <v>471</v>
      </c>
      <c r="Z81" s="184">
        <f>'район для расчетов (не печатать'!Z80+'Свод по посел.'!Z79</f>
        <v>472</v>
      </c>
      <c r="AA81" s="214">
        <f>'район для расчетов (не печатать'!AA80+'Свод по посел.'!AA79</f>
        <v>1437</v>
      </c>
      <c r="AB81" s="184">
        <f>'район для расчетов (не печатать'!AB80+'Свод по посел.'!AB79</f>
        <v>478</v>
      </c>
      <c r="AC81" s="184">
        <f>'район для расчетов (не печатать'!AC80+'Свод по посел.'!AC79</f>
        <v>478</v>
      </c>
      <c r="AD81" s="184">
        <f>'район для расчетов (не печатать'!AD80+'Свод по посел.'!AD79</f>
        <v>481</v>
      </c>
      <c r="AE81" s="179">
        <f t="shared" si="0"/>
        <v>5635</v>
      </c>
    </row>
    <row r="82" spans="1:31" ht="36.75" thickBot="1">
      <c r="A82" s="25" t="s">
        <v>203</v>
      </c>
      <c r="B82" s="93" t="s">
        <v>143</v>
      </c>
      <c r="C82" s="46"/>
      <c r="D82" s="46"/>
      <c r="E82" s="46"/>
      <c r="F82" s="46"/>
      <c r="G82" s="46"/>
      <c r="H82" s="46"/>
      <c r="I82" s="46"/>
      <c r="J82" s="150"/>
      <c r="K82" s="172">
        <f>'район для расчетов (не печатать'!K81+'Свод по посел.'!K80</f>
        <v>4862</v>
      </c>
      <c r="O82" s="214">
        <f>'район для расчетов (не печатать'!O81+'Свод по посел.'!L80</f>
        <v>1075</v>
      </c>
      <c r="P82" s="184">
        <f>'район для расчетов (не печатать'!P81+'Свод по посел.'!P80</f>
        <v>358</v>
      </c>
      <c r="Q82" s="184">
        <f>'район для расчетов (не печатать'!Q81+'Свод по посел.'!Q80</f>
        <v>358</v>
      </c>
      <c r="R82" s="184">
        <f>'район для расчетов (не печатать'!R81+'Свод по посел.'!R80</f>
        <v>359</v>
      </c>
      <c r="S82" s="214">
        <f>'район для расчетов (не печатать'!S81+'Свод по посел.'!S80</f>
        <v>1074</v>
      </c>
      <c r="T82" s="184">
        <f>'район для расчетов (не печатать'!T81+'Свод по посел.'!T80</f>
        <v>358</v>
      </c>
      <c r="U82" s="184">
        <f>'район для расчетов (не печатать'!U81+'Свод по посел.'!U80</f>
        <v>358</v>
      </c>
      <c r="V82" s="184">
        <f>'район для расчетов (не печатать'!V81+'Свод по посел.'!V80</f>
        <v>358</v>
      </c>
      <c r="W82" s="214">
        <f>'район для расчетов (не печатать'!W81+'Свод по посел.'!W80</f>
        <v>1357</v>
      </c>
      <c r="X82" s="184">
        <f>'район для расчетов (не печатать'!X81+'Свод по посел.'!X80</f>
        <v>452</v>
      </c>
      <c r="Y82" s="184">
        <f>'район для расчетов (не печатать'!Y81+'Свод по посел.'!Y80</f>
        <v>452</v>
      </c>
      <c r="Z82" s="184">
        <f>'район для расчетов (не печатать'!Z81+'Свод по посел.'!Z80</f>
        <v>453</v>
      </c>
      <c r="AA82" s="214">
        <f>'район для расчетов (не печатать'!AA81+'Свод по посел.'!AA80</f>
        <v>1356</v>
      </c>
      <c r="AB82" s="184">
        <f>'район для расчетов (не печатать'!AB81+'Свод по посел.'!AB80</f>
        <v>452</v>
      </c>
      <c r="AC82" s="184">
        <f>'район для расчетов (не печатать'!AC81+'Свод по посел.'!AC80</f>
        <v>452</v>
      </c>
      <c r="AD82" s="184">
        <f>'район для расчетов (не печатать'!AD81+'Свод по посел.'!AD80</f>
        <v>454</v>
      </c>
      <c r="AE82" s="179">
        <f t="shared" si="0"/>
        <v>4862</v>
      </c>
    </row>
    <row r="83" spans="1:31" ht="24">
      <c r="A83" s="25" t="s">
        <v>204</v>
      </c>
      <c r="B83" s="93" t="s">
        <v>144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150" t="s">
        <v>91</v>
      </c>
      <c r="K83" s="172">
        <f>'район для расчетов (не печатать'!K82+'Свод по посел.'!K81</f>
        <v>135</v>
      </c>
      <c r="O83" s="214">
        <f>'район для расчетов (не печатать'!O82+'Свод по посел.'!L81</f>
        <v>33</v>
      </c>
      <c r="P83" s="184">
        <f>'район для расчетов (не печатать'!P82+'Свод по посел.'!P81</f>
        <v>11</v>
      </c>
      <c r="Q83" s="184">
        <f>'район для расчетов (не печатать'!Q82+'Свод по посел.'!Q81</f>
        <v>11</v>
      </c>
      <c r="R83" s="184">
        <f>'район для расчетов (не печатать'!R82+'Свод по посел.'!R81</f>
        <v>11</v>
      </c>
      <c r="S83" s="214">
        <f>'район для расчетов (не печатать'!S82+'Свод по посел.'!S81</f>
        <v>34</v>
      </c>
      <c r="T83" s="184">
        <f>'район для расчетов (не печатать'!T82+'Свод по посел.'!T81</f>
        <v>11</v>
      </c>
      <c r="U83" s="184">
        <f>'район для расчетов (не печатать'!U82+'Свод по посел.'!U81</f>
        <v>11</v>
      </c>
      <c r="V83" s="184">
        <f>'район для расчетов (не печатать'!V82+'Свод по посел.'!V81</f>
        <v>12</v>
      </c>
      <c r="W83" s="214">
        <f>'район для расчетов (не печатать'!W82+'Свод по посел.'!W81</f>
        <v>34</v>
      </c>
      <c r="X83" s="184">
        <f>'район для расчетов (не печатать'!X82+'Свод по посел.'!X81</f>
        <v>11</v>
      </c>
      <c r="Y83" s="184">
        <f>'район для расчетов (не печатать'!Y82+'Свод по посел.'!Y81</f>
        <v>11</v>
      </c>
      <c r="Z83" s="184">
        <f>'район для расчетов (не печатать'!Z82+'Свод по посел.'!Z81</f>
        <v>12</v>
      </c>
      <c r="AA83" s="214">
        <f>'район для расчетов (не печатать'!AA82+'Свод по посел.'!AA81</f>
        <v>34</v>
      </c>
      <c r="AB83" s="184">
        <f>'район для расчетов (не печатать'!AB82+'Свод по посел.'!AB81</f>
        <v>11</v>
      </c>
      <c r="AC83" s="184">
        <f>'район для расчетов (не печатать'!AC82+'Свод по посел.'!AC81</f>
        <v>11</v>
      </c>
      <c r="AD83" s="184">
        <f>'район для расчетов (не печатать'!AD82+'Свод по посел.'!AD81</f>
        <v>12</v>
      </c>
      <c r="AE83" s="179">
        <f t="shared" si="0"/>
        <v>135</v>
      </c>
    </row>
    <row r="84" spans="1:31" ht="24">
      <c r="A84" s="25"/>
      <c r="B84" s="93" t="s">
        <v>215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108">
        <f>227.1+227.2</f>
        <v>454.29999999999995</v>
      </c>
      <c r="O84" s="214"/>
      <c r="P84" s="184"/>
      <c r="Q84" s="184"/>
      <c r="R84" s="184"/>
      <c r="S84" s="214">
        <v>227.1</v>
      </c>
      <c r="T84" s="184"/>
      <c r="U84" s="184"/>
      <c r="V84" s="184">
        <v>227.1</v>
      </c>
      <c r="W84" s="214">
        <f>227.2</f>
        <v>227.2</v>
      </c>
      <c r="X84" s="184">
        <v>76</v>
      </c>
      <c r="Y84" s="184">
        <v>76</v>
      </c>
      <c r="Z84" s="184">
        <v>75.2</v>
      </c>
      <c r="AA84" s="237"/>
      <c r="AB84" s="184"/>
      <c r="AC84" s="184"/>
      <c r="AD84" s="184"/>
      <c r="AE84" s="179">
        <f t="shared" si="0"/>
        <v>454.29999999999995</v>
      </c>
    </row>
    <row r="85" spans="1:31" ht="48">
      <c r="A85" s="25"/>
      <c r="B85" s="93" t="s">
        <v>220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108">
        <v>342</v>
      </c>
      <c r="O85" s="237"/>
      <c r="P85" s="207"/>
      <c r="Q85" s="207"/>
      <c r="R85" s="207"/>
      <c r="S85" s="237"/>
      <c r="T85" s="207"/>
      <c r="U85" s="207"/>
      <c r="V85" s="207"/>
      <c r="W85" s="237">
        <v>257</v>
      </c>
      <c r="X85" s="207">
        <v>85</v>
      </c>
      <c r="Y85" s="207">
        <v>85</v>
      </c>
      <c r="Z85" s="207">
        <v>87</v>
      </c>
      <c r="AA85" s="237">
        <v>85</v>
      </c>
      <c r="AB85" s="207">
        <v>28</v>
      </c>
      <c r="AC85" s="207">
        <v>28</v>
      </c>
      <c r="AD85" s="207">
        <v>29</v>
      </c>
      <c r="AE85" s="179">
        <f t="shared" si="0"/>
        <v>342</v>
      </c>
    </row>
    <row r="86" spans="1:31" ht="24">
      <c r="A86" s="25"/>
      <c r="B86" s="93" t="s">
        <v>221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108">
        <v>130</v>
      </c>
      <c r="O86" s="237"/>
      <c r="P86" s="207"/>
      <c r="Q86" s="207"/>
      <c r="R86" s="207"/>
      <c r="S86" s="237"/>
      <c r="T86" s="207"/>
      <c r="U86" s="207"/>
      <c r="V86" s="207"/>
      <c r="W86" s="237">
        <v>98</v>
      </c>
      <c r="X86" s="207">
        <v>32</v>
      </c>
      <c r="Y86" s="207">
        <v>32</v>
      </c>
      <c r="Z86" s="207">
        <v>34</v>
      </c>
      <c r="AA86" s="237">
        <v>32</v>
      </c>
      <c r="AB86" s="207">
        <v>10</v>
      </c>
      <c r="AC86" s="207">
        <v>10</v>
      </c>
      <c r="AD86" s="207">
        <v>12</v>
      </c>
      <c r="AE86" s="179">
        <f t="shared" si="0"/>
        <v>130</v>
      </c>
    </row>
    <row r="87" spans="1:31" ht="36">
      <c r="A87" s="25"/>
      <c r="B87" s="93" t="s">
        <v>222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165</v>
      </c>
      <c r="H87" s="46" t="s">
        <v>38</v>
      </c>
      <c r="I87" s="46" t="s">
        <v>16</v>
      </c>
      <c r="J87" s="46" t="s">
        <v>91</v>
      </c>
      <c r="K87" s="108">
        <v>352</v>
      </c>
      <c r="O87" s="237"/>
      <c r="P87" s="207"/>
      <c r="Q87" s="207"/>
      <c r="R87" s="207"/>
      <c r="S87" s="237"/>
      <c r="T87" s="207"/>
      <c r="U87" s="207"/>
      <c r="V87" s="207"/>
      <c r="W87" s="237">
        <v>352</v>
      </c>
      <c r="X87" s="207">
        <v>117</v>
      </c>
      <c r="Y87" s="207">
        <v>117</v>
      </c>
      <c r="Z87" s="207">
        <v>118</v>
      </c>
      <c r="AA87" s="237"/>
      <c r="AB87" s="207"/>
      <c r="AC87" s="207"/>
      <c r="AD87" s="207"/>
      <c r="AE87" s="179">
        <f t="shared" si="0"/>
        <v>352</v>
      </c>
    </row>
    <row r="88" spans="1:31" s="278" customFormat="1" ht="24">
      <c r="A88" s="275"/>
      <c r="B88" s="276" t="s">
        <v>223</v>
      </c>
      <c r="C88" s="277" t="s">
        <v>226</v>
      </c>
      <c r="D88" s="277" t="s">
        <v>89</v>
      </c>
      <c r="E88" s="277" t="s">
        <v>23</v>
      </c>
      <c r="F88" s="277" t="s">
        <v>23</v>
      </c>
      <c r="G88" s="277" t="s">
        <v>165</v>
      </c>
      <c r="H88" s="277" t="s">
        <v>38</v>
      </c>
      <c r="I88" s="277" t="s">
        <v>16</v>
      </c>
      <c r="J88" s="277" t="s">
        <v>91</v>
      </c>
      <c r="K88" s="309">
        <v>367.1</v>
      </c>
      <c r="O88" s="279"/>
      <c r="P88" s="279"/>
      <c r="Q88" s="279"/>
      <c r="R88" s="279"/>
      <c r="S88" s="279"/>
      <c r="T88" s="279"/>
      <c r="U88" s="279"/>
      <c r="V88" s="279"/>
      <c r="W88" s="279">
        <v>367.1</v>
      </c>
      <c r="X88" s="279">
        <v>122</v>
      </c>
      <c r="Y88" s="279">
        <v>122</v>
      </c>
      <c r="Z88" s="279">
        <v>123.1</v>
      </c>
      <c r="AA88" s="279"/>
      <c r="AB88" s="279"/>
      <c r="AC88" s="279"/>
      <c r="AD88" s="279"/>
      <c r="AE88" s="310">
        <f aca="true" t="shared" si="6" ref="AE88:AE113">O88+S88+W88+AA88</f>
        <v>367.1</v>
      </c>
    </row>
    <row r="89" spans="1:31" s="278" customFormat="1" ht="24">
      <c r="A89" s="281"/>
      <c r="B89" s="282" t="s">
        <v>228</v>
      </c>
      <c r="C89" s="283" t="s">
        <v>14</v>
      </c>
      <c r="D89" s="283" t="s">
        <v>89</v>
      </c>
      <c r="E89" s="283" t="s">
        <v>23</v>
      </c>
      <c r="F89" s="283" t="s">
        <v>77</v>
      </c>
      <c r="G89" s="283" t="s">
        <v>229</v>
      </c>
      <c r="H89" s="283" t="s">
        <v>38</v>
      </c>
      <c r="I89" s="283" t="s">
        <v>16</v>
      </c>
      <c r="J89" s="311" t="s">
        <v>91</v>
      </c>
      <c r="K89" s="314">
        <v>1000</v>
      </c>
      <c r="O89" s="232"/>
      <c r="P89" s="285"/>
      <c r="Q89" s="285"/>
      <c r="R89" s="285"/>
      <c r="S89" s="232"/>
      <c r="T89" s="285"/>
      <c r="U89" s="285"/>
      <c r="V89" s="285"/>
      <c r="W89" s="232">
        <v>1000</v>
      </c>
      <c r="X89" s="285">
        <v>333</v>
      </c>
      <c r="Y89" s="285">
        <v>333</v>
      </c>
      <c r="Z89" s="285">
        <v>334</v>
      </c>
      <c r="AA89" s="232"/>
      <c r="AB89" s="279"/>
      <c r="AC89" s="279"/>
      <c r="AD89" s="286"/>
      <c r="AE89" s="179">
        <f t="shared" si="6"/>
        <v>1000</v>
      </c>
    </row>
    <row r="90" spans="1:32" s="119" customFormat="1" ht="24">
      <c r="A90" s="287"/>
      <c r="B90" s="288" t="s">
        <v>227</v>
      </c>
      <c r="C90" s="289" t="s">
        <v>14</v>
      </c>
      <c r="D90" s="289" t="s">
        <v>89</v>
      </c>
      <c r="E90" s="289" t="s">
        <v>23</v>
      </c>
      <c r="F90" s="289" t="s">
        <v>23</v>
      </c>
      <c r="G90" s="289" t="s">
        <v>232</v>
      </c>
      <c r="H90" s="289" t="s">
        <v>38</v>
      </c>
      <c r="I90" s="289" t="s">
        <v>16</v>
      </c>
      <c r="J90" s="312" t="s">
        <v>91</v>
      </c>
      <c r="K90" s="315">
        <f>1002+999+551+845</f>
        <v>3397</v>
      </c>
      <c r="O90" s="291">
        <v>1002</v>
      </c>
      <c r="P90" s="292">
        <v>1002</v>
      </c>
      <c r="Q90" s="292"/>
      <c r="R90" s="292"/>
      <c r="S90" s="291">
        <f>999+551</f>
        <v>1550</v>
      </c>
      <c r="T90" s="292">
        <v>333</v>
      </c>
      <c r="U90" s="292">
        <v>333</v>
      </c>
      <c r="V90" s="292">
        <f>333+551</f>
        <v>884</v>
      </c>
      <c r="W90" s="291">
        <v>845</v>
      </c>
      <c r="X90" s="292"/>
      <c r="Y90" s="292"/>
      <c r="Z90" s="292">
        <v>845</v>
      </c>
      <c r="AA90" s="291"/>
      <c r="AB90" s="186"/>
      <c r="AC90" s="186"/>
      <c r="AD90" s="186"/>
      <c r="AE90" s="293"/>
      <c r="AF90">
        <f>AA90+W90+S90+O90</f>
        <v>3397</v>
      </c>
    </row>
    <row r="91" spans="1:32" s="119" customFormat="1" ht="24.75" thickBot="1">
      <c r="A91" s="287"/>
      <c r="B91" s="288" t="s">
        <v>233</v>
      </c>
      <c r="C91" s="289" t="s">
        <v>14</v>
      </c>
      <c r="D91" s="289" t="s">
        <v>89</v>
      </c>
      <c r="E91" s="289" t="s">
        <v>23</v>
      </c>
      <c r="F91" s="289" t="s">
        <v>23</v>
      </c>
      <c r="G91" s="289" t="s">
        <v>234</v>
      </c>
      <c r="H91" s="289" t="s">
        <v>38</v>
      </c>
      <c r="I91" s="289" t="s">
        <v>16</v>
      </c>
      <c r="J91" s="312" t="s">
        <v>91</v>
      </c>
      <c r="K91" s="315">
        <v>1105</v>
      </c>
      <c r="O91" s="291"/>
      <c r="P91" s="292"/>
      <c r="Q91" s="292"/>
      <c r="R91" s="292"/>
      <c r="S91" s="291"/>
      <c r="T91" s="292"/>
      <c r="U91" s="292"/>
      <c r="V91" s="292"/>
      <c r="W91" s="291">
        <v>552.5</v>
      </c>
      <c r="X91" s="292"/>
      <c r="Y91" s="292">
        <v>184</v>
      </c>
      <c r="Z91" s="292">
        <v>368.5</v>
      </c>
      <c r="AA91" s="291">
        <v>552.5</v>
      </c>
      <c r="AB91" s="307">
        <v>184</v>
      </c>
      <c r="AC91" s="307">
        <v>184</v>
      </c>
      <c r="AD91" s="307">
        <v>184.5</v>
      </c>
      <c r="AE91" s="293"/>
      <c r="AF91"/>
    </row>
    <row r="92" spans="1:31" ht="13.5" thickBot="1">
      <c r="A92" s="109" t="s">
        <v>205</v>
      </c>
      <c r="B92" s="105" t="s">
        <v>131</v>
      </c>
      <c r="C92" s="46" t="s">
        <v>14</v>
      </c>
      <c r="D92" s="46" t="s">
        <v>89</v>
      </c>
      <c r="E92" s="46" t="s">
        <v>23</v>
      </c>
      <c r="F92" s="46" t="s">
        <v>77</v>
      </c>
      <c r="G92" s="46" t="s">
        <v>199</v>
      </c>
      <c r="H92" s="46" t="s">
        <v>38</v>
      </c>
      <c r="I92" s="46" t="s">
        <v>16</v>
      </c>
      <c r="J92" s="150" t="s">
        <v>91</v>
      </c>
      <c r="K92" s="316">
        <f>K93+K100+K101+K102+K103</f>
        <v>32419</v>
      </c>
      <c r="L92" s="313">
        <f aca="true" t="shared" si="7" ref="L92:AA92">L93+L100+L101+L102+L103</f>
        <v>0</v>
      </c>
      <c r="M92" s="298">
        <f t="shared" si="7"/>
        <v>0</v>
      </c>
      <c r="N92" s="298">
        <f t="shared" si="7"/>
        <v>0</v>
      </c>
      <c r="O92" s="298">
        <f t="shared" si="7"/>
        <v>9185</v>
      </c>
      <c r="P92" s="298">
        <f t="shared" si="7"/>
        <v>3059.5</v>
      </c>
      <c r="Q92" s="298">
        <f t="shared" si="7"/>
        <v>3059</v>
      </c>
      <c r="R92" s="298">
        <f t="shared" si="7"/>
        <v>3066.5</v>
      </c>
      <c r="S92" s="298">
        <f t="shared" si="7"/>
        <v>6515</v>
      </c>
      <c r="T92" s="298">
        <f t="shared" si="7"/>
        <v>2168.5</v>
      </c>
      <c r="U92" s="298">
        <f t="shared" si="7"/>
        <v>2167</v>
      </c>
      <c r="V92" s="298">
        <f t="shared" si="7"/>
        <v>2179.5</v>
      </c>
      <c r="W92" s="298">
        <f t="shared" si="7"/>
        <v>8653</v>
      </c>
      <c r="X92" s="298">
        <f t="shared" si="7"/>
        <v>2880</v>
      </c>
      <c r="Y92" s="298">
        <f t="shared" si="7"/>
        <v>2880.5</v>
      </c>
      <c r="Z92" s="298">
        <f t="shared" si="7"/>
        <v>2892.5</v>
      </c>
      <c r="AA92" s="298">
        <f t="shared" si="7"/>
        <v>8066</v>
      </c>
      <c r="AB92" s="172">
        <f>AB93+AB100+AB101+AB102+AB103</f>
        <v>2683.5</v>
      </c>
      <c r="AC92" s="172">
        <f>AC93+AC100+AC101+AC102+AC103</f>
        <v>2683.5</v>
      </c>
      <c r="AD92" s="172">
        <f>AD93+AD100+AD101+AD102+AD103</f>
        <v>2937.2</v>
      </c>
      <c r="AE92" s="179">
        <f t="shared" si="6"/>
        <v>32419</v>
      </c>
    </row>
    <row r="93" spans="1:31" ht="48.75" thickBot="1">
      <c r="A93" s="26" t="s">
        <v>206</v>
      </c>
      <c r="B93" s="105" t="s">
        <v>209</v>
      </c>
      <c r="C93" s="69" t="s">
        <v>14</v>
      </c>
      <c r="D93" s="69" t="s">
        <v>89</v>
      </c>
      <c r="E93" s="69" t="s">
        <v>23</v>
      </c>
      <c r="F93" s="69" t="s">
        <v>77</v>
      </c>
      <c r="G93" s="69" t="s">
        <v>199</v>
      </c>
      <c r="H93" s="69" t="s">
        <v>38</v>
      </c>
      <c r="I93" s="69" t="s">
        <v>16</v>
      </c>
      <c r="J93" s="164" t="s">
        <v>91</v>
      </c>
      <c r="K93" s="267">
        <f>K94+K95+K96+K97+K98+K99</f>
        <v>27641</v>
      </c>
      <c r="L93" s="172">
        <f aca="true" t="shared" si="8" ref="L93:AA93">L94+L95+L96+L97+L98+L99</f>
        <v>0</v>
      </c>
      <c r="M93" s="172">
        <f t="shared" si="8"/>
        <v>0</v>
      </c>
      <c r="N93" s="172">
        <f t="shared" si="8"/>
        <v>0</v>
      </c>
      <c r="O93" s="172">
        <f t="shared" si="8"/>
        <v>8839</v>
      </c>
      <c r="P93" s="172">
        <f t="shared" si="8"/>
        <v>2945</v>
      </c>
      <c r="Q93" s="172">
        <f t="shared" si="8"/>
        <v>2945</v>
      </c>
      <c r="R93" s="172">
        <f t="shared" si="8"/>
        <v>2949</v>
      </c>
      <c r="S93" s="172">
        <f t="shared" si="8"/>
        <v>5619</v>
      </c>
      <c r="T93" s="172">
        <f t="shared" si="8"/>
        <v>1871</v>
      </c>
      <c r="U93" s="172">
        <f t="shared" si="8"/>
        <v>1871</v>
      </c>
      <c r="V93" s="172">
        <f t="shared" si="8"/>
        <v>1877</v>
      </c>
      <c r="W93" s="172">
        <f t="shared" si="8"/>
        <v>7925</v>
      </c>
      <c r="X93" s="172">
        <f t="shared" si="8"/>
        <v>2641</v>
      </c>
      <c r="Y93" s="172">
        <f t="shared" si="8"/>
        <v>2641</v>
      </c>
      <c r="Z93" s="172">
        <f t="shared" si="8"/>
        <v>2643</v>
      </c>
      <c r="AA93" s="172">
        <f t="shared" si="8"/>
        <v>5258</v>
      </c>
      <c r="AB93" s="184">
        <f>'район для расчетов (не печатать'!AB91+'Свод по посел.'!AB83</f>
        <v>1751</v>
      </c>
      <c r="AC93" s="184">
        <f>'район для расчетов (не печатать'!AC91+'Свод по посел.'!AC83</f>
        <v>1751</v>
      </c>
      <c r="AD93" s="184">
        <f>'район для расчетов (не печатать'!AD91+'Свод по посел.'!AD83</f>
        <v>1994</v>
      </c>
      <c r="AE93" s="179">
        <f t="shared" si="6"/>
        <v>27641</v>
      </c>
    </row>
    <row r="94" spans="1:31" ht="13.5" thickBot="1">
      <c r="A94" s="26"/>
      <c r="B94" s="135" t="s">
        <v>214</v>
      </c>
      <c r="C94" s="69" t="s">
        <v>198</v>
      </c>
      <c r="D94" s="69" t="s">
        <v>89</v>
      </c>
      <c r="E94" s="69" t="s">
        <v>23</v>
      </c>
      <c r="F94" s="69" t="s">
        <v>77</v>
      </c>
      <c r="G94" s="69" t="s">
        <v>199</v>
      </c>
      <c r="H94" s="69" t="s">
        <v>38</v>
      </c>
      <c r="I94" s="69" t="s">
        <v>16</v>
      </c>
      <c r="J94" s="69" t="s">
        <v>91</v>
      </c>
      <c r="K94" s="172">
        <f>'район для расчетов (не печатать'!K92+'Свод по посел.'!K84</f>
        <v>120</v>
      </c>
      <c r="L94" s="172">
        <f>'район для расчетов (не печатать'!L92+'Свод по посел.'!L84</f>
        <v>0</v>
      </c>
      <c r="M94" s="172">
        <f>'район для расчетов (не печатать'!M92+'Свод по посел.'!M84</f>
        <v>0</v>
      </c>
      <c r="N94" s="172">
        <f>'район для расчетов (не печатать'!N92+'Свод по посел.'!N84</f>
        <v>0</v>
      </c>
      <c r="O94" s="172">
        <f>'район для расчетов (не печатать'!O92+'Свод по посел.'!O84</f>
        <v>0</v>
      </c>
      <c r="P94" s="172">
        <f>'район для расчетов (не печатать'!P92+'Свод по посел.'!P84</f>
        <v>0</v>
      </c>
      <c r="Q94" s="172">
        <f>'район для расчетов (не печатать'!Q92+'Свод по посел.'!Q84</f>
        <v>0</v>
      </c>
      <c r="R94" s="172">
        <f>'район для расчетов (не печатать'!R92+'Свод по посел.'!R84</f>
        <v>0</v>
      </c>
      <c r="S94" s="172">
        <f>'район для расчетов (не печатать'!S92+'Свод по посел.'!S84</f>
        <v>0</v>
      </c>
      <c r="T94" s="172">
        <f>'район для расчетов (не печатать'!T92+'Свод по посел.'!T84</f>
        <v>0</v>
      </c>
      <c r="U94" s="172">
        <f>'район для расчетов (не печатать'!U92+'Свод по посел.'!U84</f>
        <v>0</v>
      </c>
      <c r="V94" s="172">
        <f>'район для расчетов (не печатать'!V92+'Свод по посел.'!V84</f>
        <v>0</v>
      </c>
      <c r="W94" s="172">
        <f>'район для расчетов (не печатать'!W92+'Свод по посел.'!W84</f>
        <v>120</v>
      </c>
      <c r="X94" s="172">
        <f>'район для расчетов (не печатать'!X92+'Свод по посел.'!X84</f>
        <v>40</v>
      </c>
      <c r="Y94" s="172">
        <f>'район для расчетов (не печатать'!Y92+'Свод по посел.'!Y84</f>
        <v>40</v>
      </c>
      <c r="Z94" s="172">
        <f>'район для расчетов (не печатать'!Z92+'Свод по посел.'!Z84</f>
        <v>40</v>
      </c>
      <c r="AA94" s="172">
        <f>'район для расчетов (не печатать'!AA92+'Свод по посел.'!AA84</f>
        <v>0</v>
      </c>
      <c r="AB94" s="172">
        <f>'район для расчетов (не печатать'!AB92+'Свод по посел.'!AB84</f>
        <v>0</v>
      </c>
      <c r="AC94" s="172">
        <f>'район для расчетов (не печатать'!AC92+'Свод по посел.'!AC84</f>
        <v>0</v>
      </c>
      <c r="AD94" s="172">
        <f>'район для расчетов (не печатать'!AD92+'Свод по посел.'!AD84</f>
        <v>0</v>
      </c>
      <c r="AE94" s="179">
        <f t="shared" si="6"/>
        <v>120</v>
      </c>
    </row>
    <row r="95" spans="1:31" ht="13.5" thickBot="1">
      <c r="A95" s="26"/>
      <c r="B95" s="77" t="s">
        <v>134</v>
      </c>
      <c r="C95" s="70" t="s">
        <v>198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165" t="s">
        <v>91</v>
      </c>
      <c r="K95" s="172">
        <f>'район для расчетов (не печатать'!K93+'Свод по посел.'!K85</f>
        <v>50</v>
      </c>
      <c r="O95" s="214">
        <f>'район для расчетов (не печатать'!O93+'Свод по посел.'!L85</f>
        <v>0</v>
      </c>
      <c r="P95" s="184">
        <f>'район для расчетов (не печатать'!P93+'Свод по посел.'!P85</f>
        <v>0</v>
      </c>
      <c r="Q95" s="184">
        <f>'район для расчетов (не печатать'!Q93+'Свод по посел.'!Q85</f>
        <v>0</v>
      </c>
      <c r="R95" s="184">
        <f>'район для расчетов (не печатать'!R93+'Свод по посел.'!R85</f>
        <v>0</v>
      </c>
      <c r="S95" s="214">
        <f>'район для расчетов (не печатать'!S93+'Свод по посел.'!S85</f>
        <v>50</v>
      </c>
      <c r="T95" s="184">
        <f>'район для расчетов (не печатать'!T93+'Свод по посел.'!T85</f>
        <v>16</v>
      </c>
      <c r="U95" s="184">
        <f>'район для расчетов (не печатать'!U93+'Свод по посел.'!U85</f>
        <v>16</v>
      </c>
      <c r="V95" s="184">
        <f>'район для расчетов (не печатать'!V93+'Свод по посел.'!V85</f>
        <v>18</v>
      </c>
      <c r="W95" s="214">
        <f>'район для расчетов (не печатать'!W93+'Свод по посел.'!W85</f>
        <v>0</v>
      </c>
      <c r="X95" s="184">
        <f>'район для расчетов (не печатать'!X93+'Свод по посел.'!X85</f>
        <v>0</v>
      </c>
      <c r="Y95" s="184">
        <f>'район для расчетов (не печатать'!Y93+'Свод по посел.'!Y85</f>
        <v>0</v>
      </c>
      <c r="Z95" s="184">
        <f>'район для расчетов (не печатать'!Z93+'Свод по посел.'!Z85</f>
        <v>0</v>
      </c>
      <c r="AA95" s="214">
        <f>'район для расчетов (не печатать'!AA93+'Свод по посел.'!AA85</f>
        <v>0</v>
      </c>
      <c r="AB95" s="184">
        <f>'район для расчетов (не печатать'!AB93+'Свод по посел.'!AB85</f>
        <v>0</v>
      </c>
      <c r="AC95" s="184">
        <f>'район для расчетов (не печатать'!AC93+'Свод по посел.'!AC85</f>
        <v>0</v>
      </c>
      <c r="AD95" s="184">
        <f>'район для расчетов (не печатать'!AD93+'Свод по посел.'!AD85</f>
        <v>0</v>
      </c>
      <c r="AE95" s="179">
        <f t="shared" si="6"/>
        <v>50</v>
      </c>
    </row>
    <row r="96" spans="1:31" ht="13.5" thickBot="1">
      <c r="A96" s="26"/>
      <c r="B96" s="77" t="s">
        <v>133</v>
      </c>
      <c r="C96" s="70" t="s">
        <v>200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165" t="s">
        <v>91</v>
      </c>
      <c r="K96" s="172">
        <f>'район для расчетов (не печатать'!K94+'Свод по посел.'!K86</f>
        <v>80</v>
      </c>
      <c r="O96" s="214">
        <f>'район для расчетов (не печатать'!O94+'Свод по посел.'!L86</f>
        <v>0</v>
      </c>
      <c r="P96" s="184">
        <f>'район для расчетов (не печатать'!P94+'Свод по посел.'!P86</f>
        <v>0</v>
      </c>
      <c r="Q96" s="184">
        <f>'район для расчетов (не печатать'!Q94+'Свод по посел.'!Q86</f>
        <v>0</v>
      </c>
      <c r="R96" s="184">
        <f>'район для расчетов (не печатать'!R94+'Свод по посел.'!R86</f>
        <v>0</v>
      </c>
      <c r="S96" s="214">
        <f>'район для расчетов (не печатать'!S94+'Свод по посел.'!S86</f>
        <v>20</v>
      </c>
      <c r="T96" s="184">
        <f>'район для расчетов (не печатать'!T94+'Свод по посел.'!T86</f>
        <v>6</v>
      </c>
      <c r="U96" s="184">
        <f>'район для расчетов (не печатать'!U94+'Свод по посел.'!U86</f>
        <v>6</v>
      </c>
      <c r="V96" s="184">
        <f>'район для расчетов (не печатать'!V94+'Свод по посел.'!V86</f>
        <v>8</v>
      </c>
      <c r="W96" s="214">
        <f>'район для расчетов (не печатать'!W94+'Свод по посел.'!W86</f>
        <v>40</v>
      </c>
      <c r="X96" s="184">
        <f>'район для расчетов (не печатать'!X94+'Свод по посел.'!X86</f>
        <v>13</v>
      </c>
      <c r="Y96" s="184">
        <f>'район для расчетов (не печатать'!Y94+'Свод по посел.'!Y86</f>
        <v>13</v>
      </c>
      <c r="Z96" s="184">
        <f>'район для расчетов (не печатать'!Z94+'Свод по посел.'!Z86</f>
        <v>14</v>
      </c>
      <c r="AA96" s="214">
        <f>'район для расчетов (не печатать'!AA94+'Свод по посел.'!AA86</f>
        <v>20</v>
      </c>
      <c r="AB96" s="184">
        <f>'район для расчетов (не печатать'!AB94+'Свод по посел.'!AB86</f>
        <v>6</v>
      </c>
      <c r="AC96" s="184">
        <f>'район для расчетов (не печатать'!AC94+'Свод по посел.'!AC86</f>
        <v>6</v>
      </c>
      <c r="AD96" s="184">
        <f>'район для расчетов (не печатать'!AD94+'Свод по посел.'!AD86</f>
        <v>8</v>
      </c>
      <c r="AE96" s="179">
        <f t="shared" si="6"/>
        <v>80</v>
      </c>
    </row>
    <row r="97" spans="1:31" ht="13.5" thickBot="1">
      <c r="A97" s="26"/>
      <c r="B97" s="77" t="s">
        <v>132</v>
      </c>
      <c r="C97" s="70" t="s">
        <v>200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165" t="s">
        <v>91</v>
      </c>
      <c r="K97" s="172">
        <f>'район для расчетов (не печатать'!K95+'Свод по посел.'!K87</f>
        <v>3391</v>
      </c>
      <c r="O97" s="214">
        <f>'район для расчетов (не печатать'!O95+'Свод по посел.'!L87</f>
        <v>1025</v>
      </c>
      <c r="P97" s="184">
        <f>'район для расчетов (не печатать'!P95+'Свод по посел.'!P87</f>
        <v>341</v>
      </c>
      <c r="Q97" s="184">
        <f>'район для расчетов (не печатать'!Q95+'Свод по посел.'!Q87</f>
        <v>341</v>
      </c>
      <c r="R97" s="184">
        <f>'район для расчетов (не печатать'!R95+'Свод по посел.'!R87</f>
        <v>343</v>
      </c>
      <c r="S97" s="214">
        <f>'район для расчетов (не печатать'!S95+'Свод по посел.'!S87</f>
        <v>789</v>
      </c>
      <c r="T97" s="184">
        <f>'район для расчетов (не печатать'!T95+'Свод по посел.'!T87</f>
        <v>263</v>
      </c>
      <c r="U97" s="184">
        <f>'район для расчетов (не печатать'!U95+'Свод по посел.'!U87</f>
        <v>263</v>
      </c>
      <c r="V97" s="184">
        <f>'район для расчетов (не печатать'!V95+'Свод по посел.'!V87</f>
        <v>263</v>
      </c>
      <c r="W97" s="214">
        <f>'район для расчетов (не печатать'!W95+'Свод по посел.'!W87</f>
        <v>553</v>
      </c>
      <c r="X97" s="184">
        <f>'район для расчетов (не печатать'!X95+'Свод по посел.'!X87</f>
        <v>184</v>
      </c>
      <c r="Y97" s="184">
        <f>'район для расчетов (не печатать'!Y95+'Свод по посел.'!Y87</f>
        <v>184</v>
      </c>
      <c r="Z97" s="184">
        <f>'район для расчетов (не печатать'!Z95+'Свод по посел.'!Z87</f>
        <v>185</v>
      </c>
      <c r="AA97" s="214">
        <f>'район для расчетов (не печатать'!AA95+'Свод по посел.'!AA87</f>
        <v>1024</v>
      </c>
      <c r="AB97" s="184">
        <f>'район для расчетов (не печатать'!AB95+'Свод по посел.'!AB87</f>
        <v>341</v>
      </c>
      <c r="AC97" s="184">
        <f>'район для расчетов (не печатать'!AC95+'Свод по посел.'!AC87</f>
        <v>341</v>
      </c>
      <c r="AD97" s="184">
        <f>'район для расчетов (не печатать'!AD95+'Свод по посел.'!AD87</f>
        <v>342</v>
      </c>
      <c r="AE97" s="179">
        <f t="shared" si="6"/>
        <v>3391</v>
      </c>
    </row>
    <row r="98" spans="1:31" ht="13.5" thickBot="1">
      <c r="A98" s="26"/>
      <c r="B98" s="77" t="s">
        <v>96</v>
      </c>
      <c r="C98" s="70" t="s">
        <v>201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165" t="s">
        <v>91</v>
      </c>
      <c r="K98" s="172">
        <f>'район для расчетов (не печатать'!K96+'Свод по посел.'!K88</f>
        <v>24000</v>
      </c>
      <c r="O98" s="214">
        <f>'район для расчетов (не печатать'!O96+'Свод по посел.'!L88</f>
        <v>7814</v>
      </c>
      <c r="P98" s="184">
        <f>'район для расчетов (не печатать'!P96+'Свод по посел.'!P88</f>
        <v>2604</v>
      </c>
      <c r="Q98" s="184">
        <f>'район для расчетов (не печатать'!Q96+'Свод по посел.'!Q88</f>
        <v>2604</v>
      </c>
      <c r="R98" s="184">
        <f>'район для расчетов (не печатать'!R96+'Свод по посел.'!R88</f>
        <v>2606</v>
      </c>
      <c r="S98" s="214">
        <f>'район для расчетов (не печатать'!S96+'Свод по посел.'!S88</f>
        <v>4760</v>
      </c>
      <c r="T98" s="184">
        <f>'район для расчетов (не печатать'!T96+'Свод по посел.'!T88</f>
        <v>1586</v>
      </c>
      <c r="U98" s="184">
        <f>'район для расчетов (не печатать'!U96+'Свод по посел.'!U88</f>
        <v>1586</v>
      </c>
      <c r="V98" s="184">
        <f>'район для расчетов (не печатать'!V96+'Свод по посел.'!V88</f>
        <v>1588</v>
      </c>
      <c r="W98" s="214">
        <f>'район для расчетов (не печатать'!W96+'Свод по посел.'!W88</f>
        <v>7212</v>
      </c>
      <c r="X98" s="184">
        <f>'район для расчетов (не печатать'!X96+'Свод по посел.'!X88</f>
        <v>2404</v>
      </c>
      <c r="Y98" s="184">
        <f>'район для расчетов (не печатать'!Y96+'Свод по посел.'!Y88</f>
        <v>2404</v>
      </c>
      <c r="Z98" s="184">
        <f>'район для расчетов (не печатать'!Z96+'Свод по посел.'!Z88</f>
        <v>2404</v>
      </c>
      <c r="AA98" s="214">
        <f>'район для расчетов (не печатать'!AA96+'Свод по посел.'!AA88</f>
        <v>4214</v>
      </c>
      <c r="AB98" s="184">
        <f>'район для расчетов (не печатать'!AB96+'Свод по посел.'!AB88</f>
        <v>1404</v>
      </c>
      <c r="AC98" s="184">
        <f>'район для расчетов (не печатать'!AC96+'Свод по посел.'!AC88</f>
        <v>1404</v>
      </c>
      <c r="AD98" s="184">
        <f>'район для расчетов (не печатать'!AD96+'Свод по посел.'!AD88</f>
        <v>1644</v>
      </c>
      <c r="AE98" s="179">
        <f t="shared" si="6"/>
        <v>24000</v>
      </c>
    </row>
    <row r="99" spans="1:31" ht="13.5" thickBot="1">
      <c r="A99" s="97"/>
      <c r="B99" s="98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166</v>
      </c>
      <c r="H99" s="70" t="s">
        <v>42</v>
      </c>
      <c r="I99" s="70" t="s">
        <v>16</v>
      </c>
      <c r="J99" s="165" t="s">
        <v>91</v>
      </c>
      <c r="K99" s="172">
        <f>'район для расчетов (не печатать'!K97+'Свод по посел.'!K89</f>
        <v>0</v>
      </c>
      <c r="O99" s="214">
        <f>'район для расчетов (не печатать'!O97+'Свод по посел.'!L89</f>
        <v>0</v>
      </c>
      <c r="P99" s="184">
        <f>'район для расчетов (не печатать'!P97+'Свод по посел.'!P89</f>
        <v>0</v>
      </c>
      <c r="Q99" s="184">
        <f>'район для расчетов (не печатать'!Q97+'Свод по посел.'!Q89</f>
        <v>0</v>
      </c>
      <c r="R99" s="184">
        <f>'район для расчетов (не печатать'!R97+'Свод по посел.'!R89</f>
        <v>0</v>
      </c>
      <c r="S99" s="214">
        <f>'район для расчетов (не печатать'!S97+'Свод по посел.'!S89</f>
        <v>0</v>
      </c>
      <c r="T99" s="184">
        <f>'район для расчетов (не печатать'!T97+'Свод по посел.'!T89</f>
        <v>0</v>
      </c>
      <c r="U99" s="184">
        <f>'район для расчетов (не печатать'!U97+'Свод по посел.'!U89</f>
        <v>0</v>
      </c>
      <c r="V99" s="184">
        <f>'район для расчетов (не печатать'!V97+'Свод по посел.'!V89</f>
        <v>0</v>
      </c>
      <c r="W99" s="214">
        <f>'район для расчетов (не печатать'!W97+'Свод по посел.'!W89</f>
        <v>0</v>
      </c>
      <c r="X99" s="184">
        <f>'район для расчетов (не печатать'!X97+'Свод по посел.'!X89</f>
        <v>0</v>
      </c>
      <c r="Y99" s="184">
        <f>'район для расчетов (не печатать'!Y97+'Свод по посел.'!Y89</f>
        <v>0</v>
      </c>
      <c r="Z99" s="184">
        <f>'район для расчетов (не печатать'!Z97+'Свод по посел.'!Z89</f>
        <v>0</v>
      </c>
      <c r="AA99" s="214">
        <f>'район для расчетов (не печатать'!AA97+'Свод по посел.'!AA89</f>
        <v>0</v>
      </c>
      <c r="AB99" s="184">
        <f>'район для расчетов (не печатать'!AB97+'Свод по посел.'!AB89</f>
        <v>0</v>
      </c>
      <c r="AC99" s="184">
        <f>'район для расчетов (не печатать'!AC97+'Свод по посел.'!AC89</f>
        <v>0</v>
      </c>
      <c r="AD99" s="184">
        <f>'район для расчетов (не печатать'!AD97+'Свод по посел.'!AD89</f>
        <v>0</v>
      </c>
      <c r="AE99" s="179">
        <f t="shared" si="6"/>
        <v>0</v>
      </c>
    </row>
    <row r="100" spans="1:31" ht="62.25" customHeight="1" thickBot="1">
      <c r="A100" s="27" t="s">
        <v>207</v>
      </c>
      <c r="B100" s="296" t="s">
        <v>130</v>
      </c>
      <c r="C100" s="71" t="s">
        <v>196</v>
      </c>
      <c r="D100" s="71" t="s">
        <v>89</v>
      </c>
      <c r="E100" s="71" t="s">
        <v>23</v>
      </c>
      <c r="F100" s="71" t="s">
        <v>77</v>
      </c>
      <c r="G100" s="71" t="s">
        <v>199</v>
      </c>
      <c r="H100" s="71" t="s">
        <v>38</v>
      </c>
      <c r="I100" s="71" t="s">
        <v>16</v>
      </c>
      <c r="J100" s="166" t="s">
        <v>91</v>
      </c>
      <c r="K100" s="172">
        <f>'район для расчетов (не печатать'!K98+'Свод по посел.'!K90</f>
        <v>1386</v>
      </c>
      <c r="O100" s="214">
        <f>'район для расчетов (не печатать'!O98+'Свод по посел.'!L90</f>
        <v>346</v>
      </c>
      <c r="P100" s="184">
        <f>'район для расчетов (не печатать'!P98+'Свод по посел.'!P90</f>
        <v>114.5</v>
      </c>
      <c r="Q100" s="184">
        <f>'район для расчетов (не печатать'!Q98+'Свод по посел.'!Q90</f>
        <v>114</v>
      </c>
      <c r="R100" s="184">
        <f>'район для расчетов (не печатать'!R98+'Свод по посел.'!R90</f>
        <v>117.5</v>
      </c>
      <c r="S100" s="214">
        <f>'район для расчетов (не печатать'!S98+'Свод по посел.'!S90</f>
        <v>346</v>
      </c>
      <c r="T100" s="184">
        <f>'район для расчетов (не печатать'!T98+'Свод по посел.'!T90</f>
        <v>114.5</v>
      </c>
      <c r="U100" s="184">
        <f>'район для расчетов (не печатать'!U98+'Свод по посел.'!U90</f>
        <v>113</v>
      </c>
      <c r="V100" s="184">
        <f>'район для расчетов (не печатать'!V98+'Свод по посел.'!V90</f>
        <v>118.5</v>
      </c>
      <c r="W100" s="214">
        <f>'район для расчетов (не печатать'!W98+'Свод по посел.'!W90</f>
        <v>348</v>
      </c>
      <c r="X100" s="184">
        <f>'район для расчетов (не печатать'!X98+'Свод по посел.'!X90</f>
        <v>113</v>
      </c>
      <c r="Y100" s="184">
        <f>'район для расчетов (не печатать'!Y98+'Свод по посел.'!Y90</f>
        <v>113.5</v>
      </c>
      <c r="Z100" s="184">
        <f>'район для расчетов (не печатать'!Z98+'Свод по посел.'!Z90</f>
        <v>121.5</v>
      </c>
      <c r="AA100" s="214">
        <f>'район для расчетов (не печатать'!AA98+'Свод по посел.'!AA90</f>
        <v>346</v>
      </c>
      <c r="AB100" s="184">
        <f>'район для расчетов (не печатать'!AB98+'Свод по посел.'!AB90</f>
        <v>113.5</v>
      </c>
      <c r="AC100" s="184">
        <f>'район для расчетов (не печатать'!AC98+'Свод по посел.'!AC90</f>
        <v>113.5</v>
      </c>
      <c r="AD100" s="184">
        <f>'район для расчетов (не печатать'!AD98+'Свод по посел.'!AD90</f>
        <v>119</v>
      </c>
      <c r="AE100" s="179">
        <f t="shared" si="6"/>
        <v>1386</v>
      </c>
    </row>
    <row r="101" spans="1:31" ht="24">
      <c r="A101" s="32" t="s">
        <v>208</v>
      </c>
      <c r="B101" s="297" t="s">
        <v>150</v>
      </c>
      <c r="C101" s="260" t="s">
        <v>14</v>
      </c>
      <c r="D101" s="260" t="s">
        <v>89</v>
      </c>
      <c r="E101" s="260" t="s">
        <v>23</v>
      </c>
      <c r="F101" s="260" t="s">
        <v>77</v>
      </c>
      <c r="G101" s="260" t="s">
        <v>199</v>
      </c>
      <c r="H101" s="260" t="s">
        <v>38</v>
      </c>
      <c r="I101" s="260" t="s">
        <v>16</v>
      </c>
      <c r="J101" s="261" t="s">
        <v>91</v>
      </c>
      <c r="K101" s="262">
        <f>'район для расчетов (не печатать'!K99+'Свод по посел.'!K91</f>
        <v>1831</v>
      </c>
      <c r="O101" s="263">
        <f>'район для расчетов (не печатать'!O99+'Свод по посел.'!L91</f>
        <v>0</v>
      </c>
      <c r="P101" s="264">
        <f>'район для расчетов (не печатать'!P99+'Свод по посел.'!P91</f>
        <v>0</v>
      </c>
      <c r="Q101" s="264">
        <f>'район для расчетов (не печатать'!Q99+'Свод по посел.'!Q91</f>
        <v>0</v>
      </c>
      <c r="R101" s="264">
        <f>'район для расчетов (не печатать'!R99+'Свод по посел.'!R91</f>
        <v>0</v>
      </c>
      <c r="S101" s="263">
        <f>'район для расчетов (не печатать'!S99+'Свод по посел.'!S91</f>
        <v>0</v>
      </c>
      <c r="T101" s="264">
        <f>'район для расчетов (не печатать'!T99+'Свод по посел.'!T91</f>
        <v>0</v>
      </c>
      <c r="U101" s="264">
        <f>'район для расчетов (не печатать'!U99+'Свод по посел.'!U91</f>
        <v>0</v>
      </c>
      <c r="V101" s="264">
        <f>'район для расчетов (не печатать'!V99+'Свод по посел.'!V91</f>
        <v>0</v>
      </c>
      <c r="W101" s="263">
        <f>'район для расчетов (не печатать'!W99+'Свод по посел.'!W91</f>
        <v>0</v>
      </c>
      <c r="X101" s="264">
        <f>'район для расчетов (не печатать'!X99+'Свод по посел.'!X91</f>
        <v>0</v>
      </c>
      <c r="Y101" s="264">
        <f>'район для расчетов (не печатать'!Y99+'Свод по посел.'!Y91</f>
        <v>0</v>
      </c>
      <c r="Z101" s="264">
        <f>'район для расчетов (не печатать'!Z99+'Свод по посел.'!Z91</f>
        <v>0</v>
      </c>
      <c r="AA101" s="263">
        <v>1831</v>
      </c>
      <c r="AB101" s="264">
        <f>'район для расчетов (не печатать'!AB99+'Свод по посел.'!AB91</f>
        <v>610</v>
      </c>
      <c r="AC101" s="264">
        <f>'район для расчетов (не печатать'!AC99+'Свод по посел.'!AC91</f>
        <v>610</v>
      </c>
      <c r="AD101" s="264">
        <f>'район для расчетов (не печатать'!AD99+'Свод по посел.'!AD91</f>
        <v>611.2</v>
      </c>
      <c r="AE101" s="179">
        <f t="shared" si="6"/>
        <v>1831</v>
      </c>
    </row>
    <row r="102" spans="1:31" ht="36">
      <c r="A102" s="253"/>
      <c r="B102" s="288" t="s">
        <v>224</v>
      </c>
      <c r="C102" s="231" t="s">
        <v>196</v>
      </c>
      <c r="D102" s="231" t="s">
        <v>89</v>
      </c>
      <c r="E102" s="231" t="s">
        <v>23</v>
      </c>
      <c r="F102" s="231" t="s">
        <v>77</v>
      </c>
      <c r="G102" s="231" t="s">
        <v>199</v>
      </c>
      <c r="H102" s="231" t="s">
        <v>38</v>
      </c>
      <c r="I102" s="231" t="s">
        <v>16</v>
      </c>
      <c r="J102" s="231" t="s">
        <v>91</v>
      </c>
      <c r="K102" s="255">
        <v>1392</v>
      </c>
      <c r="O102" s="232"/>
      <c r="P102" s="181"/>
      <c r="Q102" s="181"/>
      <c r="R102" s="181"/>
      <c r="S102" s="232">
        <v>493</v>
      </c>
      <c r="T102" s="181">
        <v>164</v>
      </c>
      <c r="U102" s="181">
        <v>164</v>
      </c>
      <c r="V102" s="181">
        <v>165</v>
      </c>
      <c r="W102" s="232">
        <v>342</v>
      </c>
      <c r="X102" s="181">
        <v>114</v>
      </c>
      <c r="Y102" s="181">
        <v>114</v>
      </c>
      <c r="Z102" s="181">
        <v>114</v>
      </c>
      <c r="AA102" s="232">
        <v>557</v>
      </c>
      <c r="AB102" s="184">
        <v>185</v>
      </c>
      <c r="AC102" s="184">
        <v>185</v>
      </c>
      <c r="AD102" s="184">
        <v>187</v>
      </c>
      <c r="AE102" s="179">
        <f t="shared" si="6"/>
        <v>1392</v>
      </c>
    </row>
    <row r="103" spans="1:31" ht="36">
      <c r="A103" s="253"/>
      <c r="B103" s="288" t="s">
        <v>225</v>
      </c>
      <c r="C103" s="231" t="s">
        <v>196</v>
      </c>
      <c r="D103" s="231" t="s">
        <v>89</v>
      </c>
      <c r="E103" s="231" t="s">
        <v>23</v>
      </c>
      <c r="F103" s="231" t="s">
        <v>77</v>
      </c>
      <c r="G103" s="231" t="s">
        <v>199</v>
      </c>
      <c r="H103" s="231" t="s">
        <v>38</v>
      </c>
      <c r="I103" s="231" t="s">
        <v>16</v>
      </c>
      <c r="J103" s="231" t="s">
        <v>91</v>
      </c>
      <c r="K103" s="255">
        <v>169</v>
      </c>
      <c r="O103" s="232"/>
      <c r="P103" s="181"/>
      <c r="Q103" s="181"/>
      <c r="R103" s="181"/>
      <c r="S103" s="232">
        <v>57</v>
      </c>
      <c r="T103" s="181">
        <v>19</v>
      </c>
      <c r="U103" s="181">
        <v>19</v>
      </c>
      <c r="V103" s="181">
        <v>19</v>
      </c>
      <c r="W103" s="232">
        <v>38</v>
      </c>
      <c r="X103" s="181">
        <v>12</v>
      </c>
      <c r="Y103" s="181">
        <v>12</v>
      </c>
      <c r="Z103" s="181">
        <v>14</v>
      </c>
      <c r="AA103" s="232">
        <v>74</v>
      </c>
      <c r="AB103" s="184">
        <v>24</v>
      </c>
      <c r="AC103" s="184">
        <v>24</v>
      </c>
      <c r="AD103" s="184">
        <v>26</v>
      </c>
      <c r="AE103" s="179">
        <f t="shared" si="6"/>
        <v>169</v>
      </c>
    </row>
    <row r="104" spans="1:31" ht="12.75">
      <c r="A104" s="236"/>
      <c r="B104" s="269" t="s">
        <v>194</v>
      </c>
      <c r="C104" s="231" t="s">
        <v>14</v>
      </c>
      <c r="D104" s="231" t="s">
        <v>89</v>
      </c>
      <c r="E104" s="231" t="s">
        <v>23</v>
      </c>
      <c r="F104" s="231" t="s">
        <v>77</v>
      </c>
      <c r="G104" s="231" t="s">
        <v>195</v>
      </c>
      <c r="H104" s="231" t="s">
        <v>38</v>
      </c>
      <c r="I104" s="231" t="s">
        <v>16</v>
      </c>
      <c r="J104" s="231" t="s">
        <v>91</v>
      </c>
      <c r="K104" s="233">
        <f>15000-3500-1000</f>
        <v>10500</v>
      </c>
      <c r="O104" s="232">
        <v>3050</v>
      </c>
      <c r="P104" s="181">
        <v>1166</v>
      </c>
      <c r="Q104" s="181">
        <v>1166</v>
      </c>
      <c r="R104" s="181">
        <v>718</v>
      </c>
      <c r="S104" s="232">
        <f>4000-550-400</f>
        <v>3050</v>
      </c>
      <c r="T104" s="181">
        <f>1333-183-133</f>
        <v>1017</v>
      </c>
      <c r="U104" s="181">
        <f>1333-183-133</f>
        <v>1017</v>
      </c>
      <c r="V104" s="181">
        <v>1016</v>
      </c>
      <c r="W104" s="232">
        <f>5500-100-1000</f>
        <v>4400</v>
      </c>
      <c r="X104" s="181">
        <f>1833-33-333</f>
        <v>1467</v>
      </c>
      <c r="Y104" s="181">
        <f>1833-33-333</f>
        <v>1467</v>
      </c>
      <c r="Z104" s="181">
        <f>1800-334</f>
        <v>1466</v>
      </c>
      <c r="AA104" s="232">
        <f>2000+1000-3000</f>
        <v>0</v>
      </c>
      <c r="AB104" s="184">
        <f>666-666</f>
        <v>0</v>
      </c>
      <c r="AC104" s="184">
        <f>666-666</f>
        <v>0</v>
      </c>
      <c r="AD104" s="184">
        <f>668-668</f>
        <v>0</v>
      </c>
      <c r="AE104" s="179">
        <f t="shared" si="6"/>
        <v>10500</v>
      </c>
    </row>
    <row r="105" spans="1:31" ht="12.75">
      <c r="A105" s="253"/>
      <c r="B105" s="254"/>
      <c r="C105" s="231"/>
      <c r="D105" s="231"/>
      <c r="E105" s="231"/>
      <c r="F105" s="231"/>
      <c r="G105" s="231"/>
      <c r="H105" s="231"/>
      <c r="I105" s="231"/>
      <c r="J105" s="231"/>
      <c r="K105" s="255"/>
      <c r="O105" s="232"/>
      <c r="P105" s="181"/>
      <c r="Q105" s="181"/>
      <c r="R105" s="181"/>
      <c r="S105" s="232"/>
      <c r="T105" s="181"/>
      <c r="U105" s="181"/>
      <c r="V105" s="181"/>
      <c r="W105" s="232"/>
      <c r="X105" s="181"/>
      <c r="Y105" s="181"/>
      <c r="Z105" s="181"/>
      <c r="AA105" s="232"/>
      <c r="AB105" s="184"/>
      <c r="AC105" s="184"/>
      <c r="AD105" s="184"/>
      <c r="AE105" s="179">
        <f t="shared" si="6"/>
        <v>0</v>
      </c>
    </row>
    <row r="106" spans="1:31" ht="12.75">
      <c r="A106" s="253"/>
      <c r="B106" s="254"/>
      <c r="C106" s="231"/>
      <c r="D106" s="231"/>
      <c r="E106" s="231"/>
      <c r="F106" s="231"/>
      <c r="G106" s="231"/>
      <c r="H106" s="231"/>
      <c r="I106" s="231"/>
      <c r="J106" s="231"/>
      <c r="K106" s="255"/>
      <c r="O106" s="232"/>
      <c r="P106" s="181"/>
      <c r="Q106" s="181"/>
      <c r="R106" s="181"/>
      <c r="S106" s="232"/>
      <c r="T106" s="181"/>
      <c r="U106" s="181"/>
      <c r="V106" s="181"/>
      <c r="W106" s="232"/>
      <c r="X106" s="181"/>
      <c r="Y106" s="181"/>
      <c r="Z106" s="181"/>
      <c r="AA106" s="232"/>
      <c r="AB106" s="184"/>
      <c r="AC106" s="184"/>
      <c r="AD106" s="184"/>
      <c r="AE106" s="179">
        <f t="shared" si="6"/>
        <v>0</v>
      </c>
    </row>
    <row r="107" spans="1:31" ht="13.5" thickBot="1">
      <c r="A107" s="253"/>
      <c r="B107" s="254"/>
      <c r="C107" s="231"/>
      <c r="D107" s="231"/>
      <c r="E107" s="231"/>
      <c r="F107" s="231"/>
      <c r="G107" s="231"/>
      <c r="H107" s="231"/>
      <c r="I107" s="231"/>
      <c r="J107" s="231"/>
      <c r="K107" s="255"/>
      <c r="O107" s="232"/>
      <c r="P107" s="181"/>
      <c r="Q107" s="181"/>
      <c r="R107" s="181"/>
      <c r="S107" s="232"/>
      <c r="T107" s="181"/>
      <c r="U107" s="181"/>
      <c r="V107" s="181"/>
      <c r="W107" s="232"/>
      <c r="X107" s="181"/>
      <c r="Y107" s="181"/>
      <c r="Z107" s="181"/>
      <c r="AA107" s="232"/>
      <c r="AB107" s="184"/>
      <c r="AC107" s="184"/>
      <c r="AD107" s="184"/>
      <c r="AE107" s="179">
        <f t="shared" si="6"/>
        <v>0</v>
      </c>
    </row>
    <row r="108" spans="1:32" ht="26.25" thickBot="1">
      <c r="A108" s="30" t="s">
        <v>98</v>
      </c>
      <c r="B108" s="136" t="s">
        <v>167</v>
      </c>
      <c r="C108" s="265" t="s">
        <v>14</v>
      </c>
      <c r="D108" s="265" t="s">
        <v>99</v>
      </c>
      <c r="E108" s="265" t="s">
        <v>15</v>
      </c>
      <c r="F108" s="265" t="s">
        <v>15</v>
      </c>
      <c r="G108" s="265" t="s">
        <v>14</v>
      </c>
      <c r="H108" s="265" t="s">
        <v>15</v>
      </c>
      <c r="I108" s="265" t="s">
        <v>16</v>
      </c>
      <c r="J108" s="266" t="s">
        <v>14</v>
      </c>
      <c r="K108" s="267">
        <f>K110+K112</f>
        <v>19480.3</v>
      </c>
      <c r="O108" s="258">
        <f>'район для расчетов (не печатать'!O107+'Свод по посел.'!L92</f>
        <v>2721</v>
      </c>
      <c r="P108" s="230">
        <f>'район для расчетов (не печатать'!P107+'Свод по посел.'!P92</f>
        <v>904.5</v>
      </c>
      <c r="Q108" s="230">
        <f>'район для расчетов (не печатать'!Q107+'Свод по посел.'!Q92</f>
        <v>905.5</v>
      </c>
      <c r="R108" s="230">
        <f>'район для расчетов (не печатать'!R107+'Свод по посел.'!R92</f>
        <v>911</v>
      </c>
      <c r="S108" s="258">
        <f>'район для расчетов (не печатать'!S107+'Свод по посел.'!S92</f>
        <v>3035.1</v>
      </c>
      <c r="T108" s="230">
        <f>'район для расчетов (не печатать'!T107+'Свод по посел.'!T92</f>
        <v>902.5</v>
      </c>
      <c r="U108" s="230">
        <f>'район для расчетов (не печатать'!U107+'Свод по посел.'!U92</f>
        <v>904.5</v>
      </c>
      <c r="V108" s="230">
        <f>'район для расчетов (не печатать'!V107+'Свод по посел.'!V92</f>
        <v>1228.1</v>
      </c>
      <c r="W108" s="258">
        <v>5610.8</v>
      </c>
      <c r="X108" s="230">
        <f>'район для расчетов (не печатать'!X107+'Свод по посел.'!X92</f>
        <v>2804.1</v>
      </c>
      <c r="Y108" s="230">
        <f>'район для расчетов (не печатать'!Y107+'Свод по посел.'!Y92</f>
        <v>1096.5</v>
      </c>
      <c r="Z108" s="230">
        <f>'район для расчетов (не печатать'!Z107+'Свод по посел.'!Z92</f>
        <v>1135</v>
      </c>
      <c r="AA108" s="258">
        <f>'район для расчетов (не печатать'!AA107+'Свод по посел.'!AA92</f>
        <v>2948.7</v>
      </c>
      <c r="AB108" s="230">
        <f>'район для расчетов (не печатать'!AB107+'Свод по посел.'!AB92</f>
        <v>978.5</v>
      </c>
      <c r="AC108" s="230">
        <f>'район для расчетов (не печатать'!AC107+'Свод по посел.'!AC92</f>
        <v>983.7</v>
      </c>
      <c r="AD108" s="230">
        <f>'район для расчетов (не печатать'!AD107+'Свод по посел.'!AD92</f>
        <v>985.7</v>
      </c>
      <c r="AE108" s="179">
        <f t="shared" si="6"/>
        <v>14315.600000000002</v>
      </c>
      <c r="AF108">
        <f>O108+S108+W108+AA108</f>
        <v>14315.600000000002</v>
      </c>
    </row>
    <row r="109" spans="1:32" ht="13.5" thickBot="1">
      <c r="A109" s="26" t="s">
        <v>17</v>
      </c>
      <c r="B109" s="17" t="s">
        <v>100</v>
      </c>
      <c r="C109" s="44" t="s">
        <v>14</v>
      </c>
      <c r="D109" s="44" t="s">
        <v>99</v>
      </c>
      <c r="E109" s="44" t="s">
        <v>23</v>
      </c>
      <c r="F109" s="44" t="s">
        <v>15</v>
      </c>
      <c r="G109" s="44" t="s">
        <v>14</v>
      </c>
      <c r="H109" s="44" t="s">
        <v>15</v>
      </c>
      <c r="I109" s="44" t="s">
        <v>16</v>
      </c>
      <c r="J109" s="149" t="s">
        <v>101</v>
      </c>
      <c r="K109" s="172">
        <f>K110</f>
        <v>14345.6</v>
      </c>
      <c r="O109" s="214">
        <f>'район для расчетов (не печатать'!O108+'Свод по посел.'!L93</f>
        <v>2000</v>
      </c>
      <c r="P109" s="184">
        <f>'район для расчетов (не печатать'!P108+'Свод по посел.'!P93</f>
        <v>660</v>
      </c>
      <c r="Q109" s="184">
        <f>'район для расчетов (не печатать'!Q108+'Свод по посел.'!Q93</f>
        <v>660.5</v>
      </c>
      <c r="R109" s="184">
        <f>'район для расчетов (не печатать'!R108+'Свод по посел.'!R93</f>
        <v>665.5</v>
      </c>
      <c r="S109" s="214">
        <f>'район для расчетов (не печатать'!S108+'Свод по посел.'!S93</f>
        <v>2024</v>
      </c>
      <c r="T109" s="184">
        <f>'район для расчетов (не печатать'!T108+'Свод по посел.'!T93</f>
        <v>662</v>
      </c>
      <c r="U109" s="184">
        <f>'район для расчетов (не печатать'!U108+'Свод по посел.'!U93</f>
        <v>663.5</v>
      </c>
      <c r="V109" s="184">
        <f>'район для расчетов (не печатать'!V108+'Свод по посел.'!V93</f>
        <v>698.5</v>
      </c>
      <c r="W109" s="214">
        <v>3094.7</v>
      </c>
      <c r="X109" s="184">
        <f>'район для расчетов (не печатать'!X108+'Свод по посел.'!X93</f>
        <v>850.5</v>
      </c>
      <c r="Y109" s="184">
        <f>'район для расчетов (не печатать'!Y108+'Свод по посел.'!Y93</f>
        <v>854.5</v>
      </c>
      <c r="Z109" s="184">
        <f>'район для расчетов (не печатать'!Z108+'Свод по посел.'!Z93</f>
        <v>873.3</v>
      </c>
      <c r="AA109" s="214">
        <f>'район для расчетов (не печатать'!AA108+'Свод по посел.'!AA93</f>
        <v>2221.2</v>
      </c>
      <c r="AB109" s="184">
        <f>'район для расчетов (не печатать'!AB108+'Свод по посел.'!AB93</f>
        <v>737.5</v>
      </c>
      <c r="AC109" s="184">
        <f>'район для расчетов (не печатать'!AC108+'Свод по посел.'!AC93</f>
        <v>741</v>
      </c>
      <c r="AD109" s="184">
        <f>'район для расчетов (не печатать'!AD108+'Свод по посел.'!AD93</f>
        <v>741.7</v>
      </c>
      <c r="AE109" s="179">
        <f t="shared" si="6"/>
        <v>9339.9</v>
      </c>
      <c r="AF109">
        <f>O109+S109+W109+AA109</f>
        <v>9339.9</v>
      </c>
    </row>
    <row r="110" spans="1:33" ht="24.75" thickBot="1">
      <c r="A110" s="25" t="s">
        <v>102</v>
      </c>
      <c r="B110" s="137" t="s">
        <v>168</v>
      </c>
      <c r="C110" s="46" t="s">
        <v>14</v>
      </c>
      <c r="D110" s="46" t="s">
        <v>99</v>
      </c>
      <c r="E110" s="46" t="s">
        <v>23</v>
      </c>
      <c r="F110" s="46" t="s">
        <v>20</v>
      </c>
      <c r="G110" s="46" t="s">
        <v>159</v>
      </c>
      <c r="H110" s="46" t="s">
        <v>38</v>
      </c>
      <c r="I110" s="46" t="s">
        <v>16</v>
      </c>
      <c r="J110" s="150" t="s">
        <v>101</v>
      </c>
      <c r="K110" s="172">
        <f>9619.6+4725.4+0.6</f>
        <v>14345.6</v>
      </c>
      <c r="L110" s="214">
        <f>'район для расчетов (не печатать'!L109+'Свод по посел.'!I94</f>
        <v>0</v>
      </c>
      <c r="M110" s="214">
        <f>'район для расчетов (не печатать'!M109+'Свод по посел.'!J94</f>
        <v>130</v>
      </c>
      <c r="N110" s="214">
        <f>'район для расчетов (не печатать'!N109+'Свод по посел.'!K94</f>
        <v>378</v>
      </c>
      <c r="O110" s="214">
        <f>'район для расчетов (не печатать'!O109+'Свод по посел.'!L94</f>
        <v>2000</v>
      </c>
      <c r="P110" s="184">
        <f>'район для расчетов (не печатать'!P109+'Свод по посел.'!P94</f>
        <v>664.5</v>
      </c>
      <c r="Q110" s="184">
        <f>'район для расчетов (не печатать'!Q109+'Свод по посел.'!Q94</f>
        <v>665</v>
      </c>
      <c r="R110" s="184">
        <f>'район для расчетов (не печатать'!R109+'Свод по посел.'!R94</f>
        <v>670.5</v>
      </c>
      <c r="S110" s="214">
        <f>'район для расчетов (не печатать'!S109+'Свод по посел.'!S94</f>
        <v>2024</v>
      </c>
      <c r="T110" s="184">
        <f>'район для расчетов (не печатать'!T109+'Свод по посел.'!T94</f>
        <v>662</v>
      </c>
      <c r="U110" s="184">
        <f>'район для расчетов (не печатать'!U109+'Свод по посел.'!U94</f>
        <v>663.5</v>
      </c>
      <c r="V110" s="184">
        <f>'район для расчетов (не печатать'!V109+'Свод по посел.'!V94</f>
        <v>698.5</v>
      </c>
      <c r="W110" s="214">
        <v>3094.7</v>
      </c>
      <c r="X110" s="184">
        <f>'район для расчетов (не печатать'!X109+'Свод по посел.'!X94</f>
        <v>850.5</v>
      </c>
      <c r="Y110" s="184">
        <f>'район для расчетов (не печатать'!Y109+'Свод по посел.'!Y94</f>
        <v>854.5</v>
      </c>
      <c r="Z110" s="184">
        <f>'район для расчетов (не печатать'!Z109+'Свод по посел.'!Z94</f>
        <v>873.3</v>
      </c>
      <c r="AA110" s="214">
        <f>'район для расчетов (не печатать'!AA109+'Свод по посел.'!AA94</f>
        <v>2221.2</v>
      </c>
      <c r="AB110" s="184">
        <f>'район для расчетов (не печатать'!AB109+'Свод по посел.'!AB94</f>
        <v>737.5</v>
      </c>
      <c r="AC110" s="184">
        <f>'район для расчетов (не печатать'!AC109+'Свод по посел.'!AC94</f>
        <v>741</v>
      </c>
      <c r="AD110" s="184">
        <f>'район для расчетов (не печатать'!AD109+'Свод по посел.'!AD94</f>
        <v>741.7</v>
      </c>
      <c r="AE110" s="179">
        <f t="shared" si="6"/>
        <v>9339.9</v>
      </c>
      <c r="AG110">
        <v>4725.4</v>
      </c>
    </row>
    <row r="111" spans="1:32" ht="24.75" thickBot="1">
      <c r="A111" s="27" t="s">
        <v>36</v>
      </c>
      <c r="B111" s="34" t="s">
        <v>103</v>
      </c>
      <c r="C111" s="71" t="s">
        <v>14</v>
      </c>
      <c r="D111" s="71" t="s">
        <v>99</v>
      </c>
      <c r="E111" s="71" t="s">
        <v>42</v>
      </c>
      <c r="F111" s="71" t="s">
        <v>15</v>
      </c>
      <c r="G111" s="71" t="s">
        <v>14</v>
      </c>
      <c r="H111" s="71" t="s">
        <v>15</v>
      </c>
      <c r="I111" s="71" t="s">
        <v>16</v>
      </c>
      <c r="J111" s="166" t="s">
        <v>86</v>
      </c>
      <c r="K111" s="172">
        <v>5134.7</v>
      </c>
      <c r="O111" s="214">
        <f>'район для расчетов (не печатать'!O110+'Свод по посел.'!L95</f>
        <v>721</v>
      </c>
      <c r="P111" s="184">
        <f>'район для расчетов (не печатать'!P110+'Свод по посел.'!P95</f>
        <v>240</v>
      </c>
      <c r="Q111" s="184">
        <f>'район для расчетов (не печатать'!Q110+'Свод по посел.'!Q95</f>
        <v>240.5</v>
      </c>
      <c r="R111" s="184">
        <f>'район для расчетов (не печатать'!R110+'Свод по посел.'!R95</f>
        <v>240.5</v>
      </c>
      <c r="S111" s="214">
        <f>'район для расчетов (не печатать'!S110+'Свод по посел.'!S95</f>
        <v>1011.1</v>
      </c>
      <c r="T111" s="184">
        <f>'район для расчетов (не печатать'!T110+'Свод по посел.'!T95</f>
        <v>240.5</v>
      </c>
      <c r="U111" s="184">
        <f>'район для расчетов (не печатать'!U110+'Свод по посел.'!U95</f>
        <v>241</v>
      </c>
      <c r="V111" s="184">
        <f>'район для расчетов (не печатать'!V110+'Свод по посел.'!V95</f>
        <v>529.5999999999999</v>
      </c>
      <c r="W111" s="214">
        <v>2516.1</v>
      </c>
      <c r="X111" s="184">
        <f>'район для расчетов (не печатать'!X110+'Свод по посел.'!X95</f>
        <v>1953.6</v>
      </c>
      <c r="Y111" s="184">
        <f>'район для расчетов (не печатать'!Y110+'Свод по посел.'!Y95</f>
        <v>242</v>
      </c>
      <c r="Z111" s="184">
        <f>'район для расчетов (не печатать'!Z110+'Свод по посел.'!Z95</f>
        <v>261.7</v>
      </c>
      <c r="AA111" s="214">
        <f>'район для расчетов (не печатать'!AA110+'Свод по посел.'!AA95</f>
        <v>727.5</v>
      </c>
      <c r="AB111" s="184">
        <f>'район для расчетов (не печатать'!AB110+'Свод по посел.'!AB95</f>
        <v>241</v>
      </c>
      <c r="AC111" s="184">
        <f>'район для расчетов (не печатать'!AC110+'Свод по посел.'!AC95</f>
        <v>242.7</v>
      </c>
      <c r="AD111" s="184">
        <f>'район для расчетов (не печатать'!AD110+'Свод по посел.'!AD95</f>
        <v>244</v>
      </c>
      <c r="AE111" s="179">
        <f t="shared" si="6"/>
        <v>4975.7</v>
      </c>
      <c r="AF111">
        <f>O111+S111+W111+AA111</f>
        <v>4975.7</v>
      </c>
    </row>
    <row r="112" spans="1:31" ht="24.75" thickBot="1">
      <c r="A112" s="125" t="s">
        <v>39</v>
      </c>
      <c r="B112" s="138" t="s">
        <v>169</v>
      </c>
      <c r="C112" s="139" t="s">
        <v>14</v>
      </c>
      <c r="D112" s="139" t="s">
        <v>99</v>
      </c>
      <c r="E112" s="139" t="s">
        <v>42</v>
      </c>
      <c r="F112" s="139" t="s">
        <v>23</v>
      </c>
      <c r="G112" s="139" t="s">
        <v>159</v>
      </c>
      <c r="H112" s="139" t="s">
        <v>38</v>
      </c>
      <c r="I112" s="139" t="s">
        <v>16</v>
      </c>
      <c r="J112" s="167" t="s">
        <v>86</v>
      </c>
      <c r="K112" s="172">
        <f>5114.7+20</f>
        <v>5134.7</v>
      </c>
      <c r="L112" s="214">
        <f>'район для расчетов (не печатать'!L111+'Свод по посел.'!I96</f>
        <v>0</v>
      </c>
      <c r="M112" s="214">
        <f>'район для расчетов (не печатать'!M111+'Свод по посел.'!J96</f>
        <v>180</v>
      </c>
      <c r="N112" s="214">
        <f>'район для расчетов (не печатать'!N111+'Свод по посел.'!K96</f>
        <v>103</v>
      </c>
      <c r="O112" s="214">
        <f>'район для расчетов (не печатать'!O111+'Свод по посел.'!L96</f>
        <v>721</v>
      </c>
      <c r="P112" s="184">
        <f>'район для расчетов (не печатать'!P111+'Свод по посел.'!P96</f>
        <v>240</v>
      </c>
      <c r="Q112" s="184">
        <f>'район для расчетов (не печатать'!Q111+'Свод по посел.'!Q96</f>
        <v>240.5</v>
      </c>
      <c r="R112" s="184">
        <f>'район для расчетов (не печатать'!R111+'Свод по посел.'!R96</f>
        <v>240.5</v>
      </c>
      <c r="S112" s="214">
        <f>'район для расчетов (не печатать'!S111+'Свод по посел.'!S96</f>
        <v>1011.1</v>
      </c>
      <c r="T112" s="184">
        <f>'район для расчетов (не печатать'!T111+'Свод по посел.'!T96</f>
        <v>240.5</v>
      </c>
      <c r="U112" s="184">
        <f>'район для расчетов (не печатать'!U111+'Свод по посел.'!U96</f>
        <v>241</v>
      </c>
      <c r="V112" s="184">
        <f>'район для расчетов (не печатать'!V111+'Свод по посел.'!V96</f>
        <v>529.5999999999999</v>
      </c>
      <c r="W112" s="214">
        <v>2516.1</v>
      </c>
      <c r="X112" s="184">
        <f>'район для расчетов (не печатать'!X111+'Свод по посел.'!X96</f>
        <v>1953.6</v>
      </c>
      <c r="Y112" s="184">
        <f>'район для расчетов (не печатать'!Y111+'Свод по посел.'!Y96</f>
        <v>242</v>
      </c>
      <c r="Z112" s="184">
        <f>'район для расчетов (не печатать'!Z111+'Свод по посел.'!Z96</f>
        <v>261.5</v>
      </c>
      <c r="AA112" s="214">
        <f>'район для расчетов (не печатать'!AA111+'Свод по посел.'!AA96</f>
        <v>727.5</v>
      </c>
      <c r="AB112" s="184">
        <f>'район для расчетов (не печатать'!AB111+'Свод по посел.'!AB96</f>
        <v>241</v>
      </c>
      <c r="AC112" s="184">
        <f>'район для расчетов (не печатать'!AC111+'Свод по посел.'!AC96</f>
        <v>242.7</v>
      </c>
      <c r="AD112" s="184">
        <f>'район для расчетов (не печатать'!AD111+'Свод по посел.'!AD96</f>
        <v>244</v>
      </c>
      <c r="AE112" s="179">
        <f t="shared" si="6"/>
        <v>4975.7</v>
      </c>
    </row>
    <row r="113" spans="1:31" ht="13.5" thickBot="1">
      <c r="A113" s="35"/>
      <c r="B113" s="94" t="s">
        <v>104</v>
      </c>
      <c r="C113" s="50"/>
      <c r="D113" s="50"/>
      <c r="E113" s="50"/>
      <c r="F113" s="50"/>
      <c r="G113" s="50"/>
      <c r="H113" s="50"/>
      <c r="I113" s="50"/>
      <c r="J113" s="152"/>
      <c r="K113" s="174">
        <f>K23+K68+K108</f>
        <v>305652.10000000003</v>
      </c>
      <c r="L113" s="174">
        <f aca="true" t="shared" si="9" ref="L113:AA113">L23+L68+L108</f>
        <v>11399</v>
      </c>
      <c r="M113" s="174">
        <f t="shared" si="9"/>
        <v>68929.4</v>
      </c>
      <c r="N113" s="174">
        <f t="shared" si="9"/>
        <v>0</v>
      </c>
      <c r="O113" s="174">
        <f t="shared" si="9"/>
        <v>69306.5</v>
      </c>
      <c r="P113" s="174">
        <f t="shared" si="9"/>
        <v>25247</v>
      </c>
      <c r="Q113" s="174">
        <f t="shared" si="9"/>
        <v>24587.5</v>
      </c>
      <c r="R113" s="174">
        <f t="shared" si="9"/>
        <v>19454.5</v>
      </c>
      <c r="S113" s="174">
        <f t="shared" si="9"/>
        <v>76349.20000000001</v>
      </c>
      <c r="T113" s="174">
        <f t="shared" si="9"/>
        <v>22952</v>
      </c>
      <c r="U113" s="174">
        <f t="shared" si="9"/>
        <v>22043.5</v>
      </c>
      <c r="V113" s="174">
        <f t="shared" si="9"/>
        <v>31353.699999999997</v>
      </c>
      <c r="W113" s="174">
        <f t="shared" si="9"/>
        <v>68157.6</v>
      </c>
      <c r="X113" s="174">
        <f t="shared" si="9"/>
        <v>23729.6</v>
      </c>
      <c r="Y113" s="174">
        <f t="shared" si="9"/>
        <v>21279</v>
      </c>
      <c r="Z113" s="174">
        <f t="shared" si="9"/>
        <v>22363.8</v>
      </c>
      <c r="AA113" s="174">
        <f t="shared" si="9"/>
        <v>76244.2</v>
      </c>
      <c r="AB113" s="174">
        <f>AB23+AB68+AB108</f>
        <v>24942</v>
      </c>
      <c r="AC113" s="174">
        <f>AC23+AC68+AC108</f>
        <v>25491.7</v>
      </c>
      <c r="AD113" s="174">
        <f>AD23+AD68+AD108</f>
        <v>25729.9</v>
      </c>
      <c r="AE113" s="179">
        <f t="shared" si="6"/>
        <v>290057.5</v>
      </c>
    </row>
    <row r="114" spans="15:27" ht="12.75" hidden="1">
      <c r="O114" s="210">
        <f>SUM(P113:R113)</f>
        <v>69289</v>
      </c>
      <c r="S114" s="210">
        <f>SUM(T113:V113)</f>
        <v>76349.2</v>
      </c>
      <c r="W114" s="210">
        <f>SUM(X113:Z113)</f>
        <v>67372.4</v>
      </c>
      <c r="AA114" s="210">
        <f>SUM(AB113:AD113)</f>
        <v>76163.6</v>
      </c>
    </row>
    <row r="115" ht="12.75" hidden="1">
      <c r="K115">
        <f>O114+S114+W114+AA114</f>
        <v>289174.2</v>
      </c>
    </row>
    <row r="116" ht="12.75" hidden="1">
      <c r="K116">
        <f>O113+S113+W113+AA113</f>
        <v>290057.5</v>
      </c>
    </row>
    <row r="117" ht="12.75" hidden="1">
      <c r="K117">
        <f>O113+S113+W113+AA113</f>
        <v>290057.5</v>
      </c>
    </row>
  </sheetData>
  <mergeCells count="6">
    <mergeCell ref="H6:K6"/>
    <mergeCell ref="A42:A43"/>
    <mergeCell ref="A11:K11"/>
    <mergeCell ref="B12:K12"/>
    <mergeCell ref="C16:J20"/>
    <mergeCell ref="C21:J21"/>
  </mergeCells>
  <printOptions/>
  <pageMargins left="0.24" right="0.23" top="0.76" bottom="0.16" header="0.17" footer="0.16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1">
      <pane xSplit="8325" ySplit="1290" topLeftCell="W22" activePane="bottomRight" state="split"/>
      <selection pane="topLeft" activeCell="A1" sqref="A1:IV16384"/>
      <selection pane="topRight" activeCell="O20" sqref="O1:O16384"/>
      <selection pane="bottomLeft" activeCell="B29" sqref="B29"/>
      <selection pane="bottomRight" activeCell="AB27" sqref="AB27:AC2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122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43">
        <f>K24+K31+K34+K38+K41+K47+K55+K64+K65+K61</f>
        <v>161</v>
      </c>
      <c r="L23" s="43">
        <f aca="true" t="shared" si="0" ref="L23:AD23">L24+L31+L34+L38+L41+L47+L55+L64+L65+L61</f>
        <v>0</v>
      </c>
      <c r="M23" s="43">
        <f t="shared" si="0"/>
        <v>0</v>
      </c>
      <c r="N23" s="43">
        <f t="shared" si="0"/>
        <v>0</v>
      </c>
      <c r="O23" s="219">
        <f t="shared" si="0"/>
        <v>40</v>
      </c>
      <c r="P23" s="43">
        <f t="shared" si="0"/>
        <v>12</v>
      </c>
      <c r="Q23" s="43">
        <f t="shared" si="0"/>
        <v>13</v>
      </c>
      <c r="R23" s="43">
        <f t="shared" si="0"/>
        <v>15</v>
      </c>
      <c r="S23" s="219">
        <f t="shared" si="0"/>
        <v>40</v>
      </c>
      <c r="T23" s="43">
        <f t="shared" si="0"/>
        <v>12</v>
      </c>
      <c r="U23" s="43">
        <f t="shared" si="0"/>
        <v>13</v>
      </c>
      <c r="V23" s="43">
        <f t="shared" si="0"/>
        <v>15</v>
      </c>
      <c r="W23" s="219">
        <f t="shared" si="0"/>
        <v>62</v>
      </c>
      <c r="X23" s="43">
        <f t="shared" si="0"/>
        <v>13</v>
      </c>
      <c r="Y23" s="43">
        <f t="shared" si="0"/>
        <v>14</v>
      </c>
      <c r="Z23" s="43">
        <f t="shared" si="0"/>
        <v>35</v>
      </c>
      <c r="AA23" s="219">
        <f t="shared" si="0"/>
        <v>65</v>
      </c>
      <c r="AB23" s="43">
        <f t="shared" si="0"/>
        <v>14</v>
      </c>
      <c r="AC23" s="43">
        <f t="shared" si="0"/>
        <v>35</v>
      </c>
      <c r="AD23" s="43">
        <f t="shared" si="0"/>
        <v>66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0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216">
        <f t="shared" si="1"/>
        <v>0</v>
      </c>
      <c r="T24" s="45">
        <f t="shared" si="1"/>
        <v>0</v>
      </c>
      <c r="U24" s="45">
        <f t="shared" si="1"/>
        <v>0</v>
      </c>
      <c r="V24" s="45">
        <f t="shared" si="1"/>
        <v>0</v>
      </c>
      <c r="W24" s="216">
        <f t="shared" si="1"/>
        <v>0</v>
      </c>
      <c r="X24" s="45">
        <f t="shared" si="1"/>
        <v>0</v>
      </c>
      <c r="Y24" s="45">
        <f t="shared" si="1"/>
        <v>0</v>
      </c>
      <c r="Z24" s="45">
        <f t="shared" si="1"/>
        <v>0</v>
      </c>
      <c r="AA24" s="216">
        <f t="shared" si="1"/>
        <v>0</v>
      </c>
      <c r="AB24" s="45">
        <f t="shared" si="1"/>
        <v>0</v>
      </c>
      <c r="AC24" s="45">
        <f t="shared" si="1"/>
        <v>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0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0</v>
      </c>
      <c r="S25" s="216">
        <f t="shared" si="2"/>
        <v>0</v>
      </c>
      <c r="T25" s="45">
        <f t="shared" si="2"/>
        <v>0</v>
      </c>
      <c r="U25" s="45">
        <f t="shared" si="2"/>
        <v>0</v>
      </c>
      <c r="V25" s="45">
        <f t="shared" si="2"/>
        <v>0</v>
      </c>
      <c r="W25" s="216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216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/>
      <c r="O27" s="214"/>
      <c r="P27" s="184"/>
      <c r="Q27" s="184"/>
      <c r="R27" s="184"/>
      <c r="S27" s="214"/>
      <c r="T27" s="184"/>
      <c r="U27" s="184"/>
      <c r="V27" s="184"/>
      <c r="W27" s="214"/>
      <c r="X27" s="184"/>
      <c r="Y27" s="184"/>
      <c r="Z27" s="184"/>
      <c r="AA27" s="214"/>
      <c r="AB27" s="184"/>
      <c r="AC27" s="184"/>
      <c r="AD27" s="184">
        <v>50</v>
      </c>
    </row>
    <row r="28" spans="1:30" ht="71.2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/>
      <c r="O28" s="214"/>
      <c r="P28" s="184"/>
      <c r="Q28" s="184"/>
      <c r="R28" s="184"/>
      <c r="S28" s="214"/>
      <c r="T28" s="184"/>
      <c r="U28" s="184"/>
      <c r="V28" s="184"/>
      <c r="W28" s="214"/>
      <c r="X28" s="184"/>
      <c r="Y28" s="184"/>
      <c r="Z28" s="184"/>
      <c r="AA28" s="214"/>
      <c r="AB28" s="184"/>
      <c r="AC28" s="184"/>
      <c r="AD28" s="184">
        <v>50</v>
      </c>
    </row>
    <row r="29" spans="1:30" ht="51.75" customHeigh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0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22</v>
      </c>
      <c r="X34" s="43">
        <f t="shared" si="3"/>
        <v>1</v>
      </c>
      <c r="Y34" s="43">
        <f t="shared" si="3"/>
        <v>1</v>
      </c>
      <c r="Z34" s="43">
        <f t="shared" si="3"/>
        <v>20</v>
      </c>
      <c r="AA34" s="219">
        <f t="shared" si="3"/>
        <v>24</v>
      </c>
      <c r="AB34" s="43">
        <f t="shared" si="3"/>
        <v>1</v>
      </c>
      <c r="AC34" s="43">
        <f t="shared" si="3"/>
        <v>22</v>
      </c>
      <c r="AD34" s="43">
        <f t="shared" si="3"/>
        <v>1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/>
      <c r="O35" s="214"/>
      <c r="P35" s="184"/>
      <c r="Q35" s="184"/>
      <c r="R35" s="184"/>
      <c r="S35" s="214"/>
      <c r="T35" s="184"/>
      <c r="U35" s="184"/>
      <c r="V35" s="184"/>
      <c r="W35" s="214">
        <f>6/3</f>
        <v>2</v>
      </c>
      <c r="X35" s="184">
        <v>1</v>
      </c>
      <c r="Y35" s="184">
        <v>1</v>
      </c>
      <c r="Z35" s="184"/>
      <c r="AA35" s="214">
        <v>4</v>
      </c>
      <c r="AB35" s="184">
        <v>1</v>
      </c>
      <c r="AC35" s="184">
        <v>2</v>
      </c>
      <c r="AD35" s="184">
        <v>1</v>
      </c>
    </row>
    <row r="36" spans="1:30" ht="12.75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>
        <v>20</v>
      </c>
      <c r="X37" s="184"/>
      <c r="Y37" s="184"/>
      <c r="Z37" s="184">
        <v>20</v>
      </c>
      <c r="AA37" s="214">
        <v>20</v>
      </c>
      <c r="AB37" s="184"/>
      <c r="AC37" s="184">
        <v>20</v>
      </c>
      <c r="AD37" s="184"/>
    </row>
    <row r="38" spans="1:30" ht="13.5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2.75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2.75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2.75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2.75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161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40</v>
      </c>
      <c r="P47" s="43">
        <f t="shared" si="4"/>
        <v>12</v>
      </c>
      <c r="Q47" s="43">
        <f t="shared" si="4"/>
        <v>13</v>
      </c>
      <c r="R47" s="43">
        <f t="shared" si="4"/>
        <v>15</v>
      </c>
      <c r="S47" s="219">
        <f t="shared" si="4"/>
        <v>40</v>
      </c>
      <c r="T47" s="43">
        <f t="shared" si="4"/>
        <v>12</v>
      </c>
      <c r="U47" s="43">
        <f t="shared" si="4"/>
        <v>13</v>
      </c>
      <c r="V47" s="43">
        <f t="shared" si="4"/>
        <v>15</v>
      </c>
      <c r="W47" s="219">
        <f t="shared" si="4"/>
        <v>40</v>
      </c>
      <c r="X47" s="43">
        <f t="shared" si="4"/>
        <v>12</v>
      </c>
      <c r="Y47" s="43">
        <f t="shared" si="4"/>
        <v>13</v>
      </c>
      <c r="Z47" s="43">
        <f t="shared" si="4"/>
        <v>15</v>
      </c>
      <c r="AA47" s="219">
        <f t="shared" si="4"/>
        <v>41</v>
      </c>
      <c r="AB47" s="43">
        <f t="shared" si="4"/>
        <v>13</v>
      </c>
      <c r="AC47" s="43">
        <f t="shared" si="4"/>
        <v>13</v>
      </c>
      <c r="AD47" s="43">
        <f t="shared" si="4"/>
        <v>15</v>
      </c>
    </row>
    <row r="48" spans="1:30" ht="12.75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8" customHeight="1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140</v>
      </c>
      <c r="L49" s="45">
        <f aca="true" t="shared" si="5" ref="L49:AD49">L50</f>
        <v>0</v>
      </c>
      <c r="M49" s="45">
        <f t="shared" si="5"/>
        <v>0</v>
      </c>
      <c r="N49" s="45">
        <f t="shared" si="5"/>
        <v>0</v>
      </c>
      <c r="O49" s="216">
        <f t="shared" si="5"/>
        <v>35</v>
      </c>
      <c r="P49" s="45">
        <f t="shared" si="5"/>
        <v>11</v>
      </c>
      <c r="Q49" s="45">
        <f t="shared" si="5"/>
        <v>11</v>
      </c>
      <c r="R49" s="45">
        <f t="shared" si="5"/>
        <v>13</v>
      </c>
      <c r="S49" s="216">
        <f t="shared" si="5"/>
        <v>35</v>
      </c>
      <c r="T49" s="45">
        <f t="shared" si="5"/>
        <v>11</v>
      </c>
      <c r="U49" s="45">
        <f t="shared" si="5"/>
        <v>11</v>
      </c>
      <c r="V49" s="45">
        <f t="shared" si="5"/>
        <v>13</v>
      </c>
      <c r="W49" s="216">
        <f t="shared" si="5"/>
        <v>35</v>
      </c>
      <c r="X49" s="45">
        <f t="shared" si="5"/>
        <v>11</v>
      </c>
      <c r="Y49" s="45">
        <f t="shared" si="5"/>
        <v>11</v>
      </c>
      <c r="Z49" s="45">
        <f t="shared" si="5"/>
        <v>13</v>
      </c>
      <c r="AA49" s="216">
        <f t="shared" si="5"/>
        <v>35</v>
      </c>
      <c r="AB49" s="45">
        <f t="shared" si="5"/>
        <v>11</v>
      </c>
      <c r="AC49" s="45">
        <f t="shared" si="5"/>
        <v>11</v>
      </c>
      <c r="AD49" s="45">
        <f t="shared" si="5"/>
        <v>13</v>
      </c>
    </row>
    <row r="50" spans="1:30" ht="46.5" customHeight="1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140</v>
      </c>
      <c r="O50" s="214">
        <f>140/4</f>
        <v>35</v>
      </c>
      <c r="P50" s="184">
        <v>11</v>
      </c>
      <c r="Q50" s="184">
        <v>11</v>
      </c>
      <c r="R50" s="184">
        <v>13</v>
      </c>
      <c r="S50" s="214">
        <v>35</v>
      </c>
      <c r="T50" s="184">
        <v>11</v>
      </c>
      <c r="U50" s="184">
        <v>11</v>
      </c>
      <c r="V50" s="184">
        <v>13</v>
      </c>
      <c r="W50" s="214">
        <v>35</v>
      </c>
      <c r="X50" s="184">
        <v>11</v>
      </c>
      <c r="Y50" s="184">
        <v>11</v>
      </c>
      <c r="Z50" s="184">
        <v>13</v>
      </c>
      <c r="AA50" s="214">
        <v>35</v>
      </c>
      <c r="AB50" s="184">
        <v>11</v>
      </c>
      <c r="AC50" s="184">
        <v>11</v>
      </c>
      <c r="AD50" s="184">
        <v>13</v>
      </c>
    </row>
    <row r="51" spans="1:30" ht="12.75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08">
        <f>K54</f>
        <v>21</v>
      </c>
      <c r="L53" s="108">
        <f>L54</f>
        <v>0</v>
      </c>
      <c r="M53" s="108">
        <f>M54</f>
        <v>0</v>
      </c>
      <c r="N53" s="108">
        <f>N54</f>
        <v>0</v>
      </c>
      <c r="O53" s="225">
        <f>O54</f>
        <v>5</v>
      </c>
      <c r="P53" s="184">
        <v>1</v>
      </c>
      <c r="Q53" s="184">
        <v>2</v>
      </c>
      <c r="R53" s="184">
        <v>2</v>
      </c>
      <c r="S53" s="225">
        <f>S54</f>
        <v>5</v>
      </c>
      <c r="T53" s="184">
        <v>1</v>
      </c>
      <c r="U53" s="184">
        <v>2</v>
      </c>
      <c r="V53" s="184">
        <v>2</v>
      </c>
      <c r="W53" s="225">
        <f>W54</f>
        <v>5</v>
      </c>
      <c r="X53" s="184">
        <v>1</v>
      </c>
      <c r="Y53" s="184">
        <v>2</v>
      </c>
      <c r="Z53" s="184">
        <v>2</v>
      </c>
      <c r="AA53" s="225">
        <f>AA54</f>
        <v>6</v>
      </c>
      <c r="AB53" s="184">
        <v>2</v>
      </c>
      <c r="AC53" s="184">
        <v>2</v>
      </c>
      <c r="AD53" s="184"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21</v>
      </c>
      <c r="O54" s="214">
        <v>5</v>
      </c>
      <c r="P54" s="184">
        <v>1</v>
      </c>
      <c r="Q54" s="184">
        <v>2</v>
      </c>
      <c r="R54" s="184">
        <v>2</v>
      </c>
      <c r="S54" s="214">
        <v>5</v>
      </c>
      <c r="T54" s="184">
        <v>1</v>
      </c>
      <c r="U54" s="184">
        <v>2</v>
      </c>
      <c r="V54" s="184">
        <v>2</v>
      </c>
      <c r="W54" s="214">
        <v>5</v>
      </c>
      <c r="X54" s="184">
        <v>1</v>
      </c>
      <c r="Y54" s="184">
        <v>2</v>
      </c>
      <c r="Z54" s="184">
        <v>2</v>
      </c>
      <c r="AA54" s="214">
        <v>6</v>
      </c>
      <c r="AB54" s="184">
        <v>2</v>
      </c>
      <c r="AC54" s="184">
        <v>2</v>
      </c>
      <c r="AD54" s="184">
        <v>2</v>
      </c>
    </row>
    <row r="55" spans="1:30" ht="12.75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2.75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2.75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K63</f>
        <v>0</v>
      </c>
      <c r="L61" s="68">
        <f>L63</f>
        <v>0</v>
      </c>
      <c r="M61" s="68">
        <f>M63</f>
        <v>0</v>
      </c>
      <c r="N61" s="68">
        <f>N63</f>
        <v>0</v>
      </c>
      <c r="O61" s="224">
        <f>O63</f>
        <v>0</v>
      </c>
      <c r="P61" s="68"/>
      <c r="Q61" s="68"/>
      <c r="R61" s="68"/>
      <c r="S61" s="224">
        <f>S63</f>
        <v>0</v>
      </c>
      <c r="T61" s="68"/>
      <c r="U61" s="68"/>
      <c r="V61" s="68"/>
      <c r="W61" s="224">
        <f>W63</f>
        <v>0</v>
      </c>
      <c r="X61" s="68"/>
      <c r="Y61" s="68"/>
      <c r="Z61" s="68"/>
      <c r="AA61" s="224">
        <f>AA63</f>
        <v>0</v>
      </c>
      <c r="AB61" s="68"/>
      <c r="AC61" s="68"/>
      <c r="AD61" s="68"/>
    </row>
    <row r="62" spans="1:30" ht="24.75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45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3">
        <f aca="true" t="shared" si="6" ref="E66:N66">E68+E70+E72+E83+E90+E91</f>
        <v>12</v>
      </c>
      <c r="F66" s="43">
        <f t="shared" si="6"/>
        <v>16</v>
      </c>
      <c r="G66" s="43">
        <f t="shared" si="6"/>
        <v>1860</v>
      </c>
      <c r="H66" s="43">
        <f t="shared" si="6"/>
        <v>11</v>
      </c>
      <c r="I66" s="43">
        <f t="shared" si="6"/>
        <v>0</v>
      </c>
      <c r="J66" s="43">
        <f t="shared" si="6"/>
        <v>755</v>
      </c>
      <c r="K66" s="43">
        <f t="shared" si="6"/>
        <v>578</v>
      </c>
      <c r="L66" s="43">
        <f t="shared" si="6"/>
        <v>0</v>
      </c>
      <c r="M66" s="43">
        <f t="shared" si="6"/>
        <v>0</v>
      </c>
      <c r="N66" s="43">
        <f t="shared" si="6"/>
        <v>0</v>
      </c>
      <c r="O66" s="219">
        <f aca="true" t="shared" si="7" ref="O66:AD66">O68+O70+O72+O83+O90+O91</f>
        <v>144</v>
      </c>
      <c r="P66" s="43">
        <f t="shared" si="7"/>
        <v>48</v>
      </c>
      <c r="Q66" s="43">
        <f t="shared" si="7"/>
        <v>48</v>
      </c>
      <c r="R66" s="43">
        <f t="shared" si="7"/>
        <v>48</v>
      </c>
      <c r="S66" s="219">
        <f t="shared" si="7"/>
        <v>144</v>
      </c>
      <c r="T66" s="43">
        <f t="shared" si="7"/>
        <v>48</v>
      </c>
      <c r="U66" s="43">
        <f t="shared" si="7"/>
        <v>48</v>
      </c>
      <c r="V66" s="43">
        <f t="shared" si="7"/>
        <v>48</v>
      </c>
      <c r="W66" s="219">
        <f t="shared" si="7"/>
        <v>145</v>
      </c>
      <c r="X66" s="43">
        <f t="shared" si="7"/>
        <v>48</v>
      </c>
      <c r="Y66" s="43">
        <f t="shared" si="7"/>
        <v>48</v>
      </c>
      <c r="Z66" s="43">
        <f t="shared" si="7"/>
        <v>49</v>
      </c>
      <c r="AA66" s="219">
        <f t="shared" si="7"/>
        <v>145</v>
      </c>
      <c r="AB66" s="43">
        <f t="shared" si="7"/>
        <v>48</v>
      </c>
      <c r="AC66" s="43">
        <f t="shared" si="7"/>
        <v>48</v>
      </c>
      <c r="AD66" s="43">
        <f t="shared" si="7"/>
        <v>49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565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6">
        <f t="shared" si="8"/>
        <v>141</v>
      </c>
      <c r="P68" s="45">
        <f t="shared" si="8"/>
        <v>47</v>
      </c>
      <c r="Q68" s="45">
        <f t="shared" si="8"/>
        <v>47</v>
      </c>
      <c r="R68" s="45">
        <f t="shared" si="8"/>
        <v>47</v>
      </c>
      <c r="S68" s="216">
        <f t="shared" si="8"/>
        <v>141</v>
      </c>
      <c r="T68" s="45">
        <f t="shared" si="8"/>
        <v>47</v>
      </c>
      <c r="U68" s="45">
        <f t="shared" si="8"/>
        <v>47</v>
      </c>
      <c r="V68" s="45">
        <f t="shared" si="8"/>
        <v>47</v>
      </c>
      <c r="W68" s="216">
        <f t="shared" si="8"/>
        <v>141</v>
      </c>
      <c r="X68" s="45">
        <f t="shared" si="8"/>
        <v>47</v>
      </c>
      <c r="Y68" s="45">
        <f t="shared" si="8"/>
        <v>47</v>
      </c>
      <c r="Z68" s="45">
        <f t="shared" si="8"/>
        <v>47</v>
      </c>
      <c r="AA68" s="216">
        <f t="shared" si="8"/>
        <v>142</v>
      </c>
      <c r="AB68" s="45">
        <f t="shared" si="8"/>
        <v>47</v>
      </c>
      <c r="AC68" s="45">
        <f t="shared" si="8"/>
        <v>47</v>
      </c>
      <c r="AD68" s="45">
        <f t="shared" si="8"/>
        <v>48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45">
        <v>565</v>
      </c>
      <c r="O69" s="214">
        <v>141</v>
      </c>
      <c r="P69" s="184">
        <v>47</v>
      </c>
      <c r="Q69" s="184">
        <v>47</v>
      </c>
      <c r="R69" s="184">
        <v>47</v>
      </c>
      <c r="S69" s="214">
        <v>141</v>
      </c>
      <c r="T69" s="184">
        <v>47</v>
      </c>
      <c r="U69" s="184">
        <v>47</v>
      </c>
      <c r="V69" s="184">
        <v>47</v>
      </c>
      <c r="W69" s="214">
        <v>141</v>
      </c>
      <c r="X69" s="184">
        <v>47</v>
      </c>
      <c r="Y69" s="184">
        <v>47</v>
      </c>
      <c r="Z69" s="184">
        <v>47</v>
      </c>
      <c r="AA69" s="214">
        <v>142</v>
      </c>
      <c r="AB69" s="184">
        <v>47</v>
      </c>
      <c r="AC69" s="184">
        <v>47</v>
      </c>
      <c r="AD69" s="184">
        <v>48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44">
        <v>0</v>
      </c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44">
        <v>0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13</v>
      </c>
      <c r="O90" s="214">
        <v>3</v>
      </c>
      <c r="P90" s="184">
        <v>1</v>
      </c>
      <c r="Q90" s="184">
        <v>1</v>
      </c>
      <c r="R90" s="184">
        <v>1</v>
      </c>
      <c r="S90" s="214">
        <v>3</v>
      </c>
      <c r="T90" s="184">
        <v>1</v>
      </c>
      <c r="U90" s="184">
        <v>1</v>
      </c>
      <c r="V90" s="184">
        <v>1</v>
      </c>
      <c r="W90" s="214">
        <v>4</v>
      </c>
      <c r="X90" s="184">
        <v>1</v>
      </c>
      <c r="Y90" s="184">
        <v>1</v>
      </c>
      <c r="Z90" s="184">
        <v>2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71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19">
        <f t="shared" si="9"/>
        <v>22</v>
      </c>
      <c r="P92" s="43">
        <f t="shared" si="9"/>
        <v>7</v>
      </c>
      <c r="Q92" s="43">
        <f t="shared" si="9"/>
        <v>7</v>
      </c>
      <c r="R92" s="43">
        <f t="shared" si="9"/>
        <v>8</v>
      </c>
      <c r="S92" s="219">
        <f t="shared" si="9"/>
        <v>16</v>
      </c>
      <c r="T92" s="43">
        <f t="shared" si="9"/>
        <v>5</v>
      </c>
      <c r="U92" s="43">
        <f t="shared" si="9"/>
        <v>5.5</v>
      </c>
      <c r="V92" s="43">
        <f t="shared" si="9"/>
        <v>5.5</v>
      </c>
      <c r="W92" s="219">
        <f t="shared" si="9"/>
        <v>16</v>
      </c>
      <c r="X92" s="43">
        <f t="shared" si="9"/>
        <v>5</v>
      </c>
      <c r="Y92" s="43">
        <f t="shared" si="9"/>
        <v>5.5</v>
      </c>
      <c r="Z92" s="43">
        <f t="shared" si="9"/>
        <v>5.5</v>
      </c>
      <c r="AA92" s="219">
        <f t="shared" si="9"/>
        <v>17</v>
      </c>
      <c r="AB92" s="43">
        <f t="shared" si="9"/>
        <v>5</v>
      </c>
      <c r="AC92" s="43">
        <f t="shared" si="9"/>
        <v>5.5</v>
      </c>
      <c r="AD92" s="43">
        <f t="shared" si="9"/>
        <v>5.5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71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22</v>
      </c>
      <c r="P93" s="108">
        <f t="shared" si="10"/>
        <v>7</v>
      </c>
      <c r="Q93" s="108">
        <f t="shared" si="10"/>
        <v>7</v>
      </c>
      <c r="R93" s="108">
        <f t="shared" si="10"/>
        <v>8</v>
      </c>
      <c r="S93" s="225">
        <f t="shared" si="10"/>
        <v>16</v>
      </c>
      <c r="T93" s="108">
        <f t="shared" si="10"/>
        <v>5</v>
      </c>
      <c r="U93" s="108">
        <f t="shared" si="10"/>
        <v>5.5</v>
      </c>
      <c r="V93" s="108">
        <f t="shared" si="10"/>
        <v>5.5</v>
      </c>
      <c r="W93" s="225">
        <f t="shared" si="10"/>
        <v>16</v>
      </c>
      <c r="X93" s="108">
        <f t="shared" si="10"/>
        <v>5</v>
      </c>
      <c r="Y93" s="108">
        <f t="shared" si="10"/>
        <v>5.5</v>
      </c>
      <c r="Z93" s="108">
        <f t="shared" si="10"/>
        <v>5.5</v>
      </c>
      <c r="AA93" s="225">
        <f t="shared" si="10"/>
        <v>17</v>
      </c>
      <c r="AB93" s="108">
        <f t="shared" si="10"/>
        <v>5</v>
      </c>
      <c r="AC93" s="108">
        <f t="shared" si="10"/>
        <v>5.5</v>
      </c>
      <c r="AD93" s="108">
        <f t="shared" si="10"/>
        <v>5.5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f>61+10</f>
        <v>71</v>
      </c>
      <c r="O94" s="214">
        <f>15+7</f>
        <v>22</v>
      </c>
      <c r="P94" s="184">
        <f>5+2</f>
        <v>7</v>
      </c>
      <c r="Q94" s="184">
        <f>5+2</f>
        <v>7</v>
      </c>
      <c r="R94" s="184">
        <v>8</v>
      </c>
      <c r="S94" s="214">
        <v>16</v>
      </c>
      <c r="T94" s="184">
        <v>5</v>
      </c>
      <c r="U94" s="184">
        <v>5.5</v>
      </c>
      <c r="V94" s="184">
        <v>5.5</v>
      </c>
      <c r="W94" s="214">
        <v>16</v>
      </c>
      <c r="X94" s="184">
        <v>5</v>
      </c>
      <c r="Y94" s="184">
        <v>5.5</v>
      </c>
      <c r="Z94" s="184">
        <v>5.5</v>
      </c>
      <c r="AA94" s="214">
        <v>17</v>
      </c>
      <c r="AB94" s="184">
        <v>5</v>
      </c>
      <c r="AC94" s="184">
        <v>5.5</v>
      </c>
      <c r="AD94" s="184">
        <v>5.5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L95" s="108">
        <f aca="true" t="shared" si="11" ref="L95:AD95">L96</f>
        <v>0</v>
      </c>
      <c r="M95" s="108">
        <f t="shared" si="11"/>
        <v>0</v>
      </c>
      <c r="N95" s="108">
        <f t="shared" si="11"/>
        <v>0</v>
      </c>
      <c r="O95" s="225">
        <f t="shared" si="11"/>
        <v>0</v>
      </c>
      <c r="P95" s="108">
        <f t="shared" si="11"/>
        <v>0</v>
      </c>
      <c r="Q95" s="108">
        <f t="shared" si="11"/>
        <v>0</v>
      </c>
      <c r="R95" s="108">
        <f t="shared" si="11"/>
        <v>0</v>
      </c>
      <c r="S95" s="225">
        <f t="shared" si="11"/>
        <v>0</v>
      </c>
      <c r="T95" s="108">
        <f t="shared" si="11"/>
        <v>0</v>
      </c>
      <c r="U95" s="108">
        <f t="shared" si="11"/>
        <v>0</v>
      </c>
      <c r="V95" s="108">
        <f t="shared" si="11"/>
        <v>0</v>
      </c>
      <c r="W95" s="225">
        <f t="shared" si="11"/>
        <v>0</v>
      </c>
      <c r="X95" s="108">
        <f t="shared" si="11"/>
        <v>0</v>
      </c>
      <c r="Y95" s="108">
        <f t="shared" si="11"/>
        <v>0</v>
      </c>
      <c r="Z95" s="108">
        <f t="shared" si="11"/>
        <v>0</v>
      </c>
      <c r="AA95" s="225">
        <f t="shared" si="11"/>
        <v>0</v>
      </c>
      <c r="AB95" s="108">
        <f t="shared" si="11"/>
        <v>0</v>
      </c>
      <c r="AC95" s="108">
        <f t="shared" si="11"/>
        <v>0</v>
      </c>
      <c r="AD95" s="108">
        <f t="shared" si="11"/>
        <v>0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0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810</v>
      </c>
      <c r="L97" s="51">
        <f aca="true" t="shared" si="12" ref="L97:AD97">L23+L66+L92</f>
        <v>0</v>
      </c>
      <c r="M97" s="51">
        <f t="shared" si="12"/>
        <v>0</v>
      </c>
      <c r="N97" s="51">
        <f t="shared" si="12"/>
        <v>0</v>
      </c>
      <c r="O97" s="226">
        <f t="shared" si="12"/>
        <v>206</v>
      </c>
      <c r="P97" s="51">
        <f t="shared" si="12"/>
        <v>67</v>
      </c>
      <c r="Q97" s="51">
        <f t="shared" si="12"/>
        <v>68</v>
      </c>
      <c r="R97" s="51">
        <f t="shared" si="12"/>
        <v>71</v>
      </c>
      <c r="S97" s="226">
        <f t="shared" si="12"/>
        <v>200</v>
      </c>
      <c r="T97" s="51">
        <f t="shared" si="12"/>
        <v>65</v>
      </c>
      <c r="U97" s="51">
        <f t="shared" si="12"/>
        <v>66.5</v>
      </c>
      <c r="V97" s="51">
        <f t="shared" si="12"/>
        <v>68.5</v>
      </c>
      <c r="W97" s="226">
        <f t="shared" si="12"/>
        <v>223</v>
      </c>
      <c r="X97" s="51">
        <f t="shared" si="12"/>
        <v>66</v>
      </c>
      <c r="Y97" s="51">
        <f t="shared" si="12"/>
        <v>67.5</v>
      </c>
      <c r="Z97" s="51">
        <f t="shared" si="12"/>
        <v>89.5</v>
      </c>
      <c r="AA97" s="226">
        <f t="shared" si="12"/>
        <v>227</v>
      </c>
      <c r="AB97" s="51">
        <f t="shared" si="12"/>
        <v>67</v>
      </c>
      <c r="AC97" s="51">
        <f t="shared" si="12"/>
        <v>88.5</v>
      </c>
      <c r="AD97" s="51">
        <f t="shared" si="12"/>
        <v>120.5</v>
      </c>
    </row>
    <row r="98" spans="15:27" ht="12.75">
      <c r="O98" s="210">
        <f>SUM(P97:R97)</f>
        <v>206</v>
      </c>
      <c r="S98" s="210">
        <f>SUM(T97:V97)</f>
        <v>200</v>
      </c>
      <c r="W98" s="210">
        <f>SUM(X97:Z97)</f>
        <v>223</v>
      </c>
      <c r="AA98" s="210">
        <f>SUM(AB97:AD97)</f>
        <v>276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84">
      <pane xSplit="9120" topLeftCell="I1" activePane="topRight" state="split"/>
      <selection pane="topLeft" activeCell="A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123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2509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 t="shared" si="0"/>
        <v>621</v>
      </c>
      <c r="P23" s="102">
        <f t="shared" si="0"/>
        <v>147</v>
      </c>
      <c r="Q23" s="102">
        <f t="shared" si="0"/>
        <v>236</v>
      </c>
      <c r="R23" s="102">
        <f t="shared" si="0"/>
        <v>238</v>
      </c>
      <c r="S23" s="215">
        <f t="shared" si="0"/>
        <v>621</v>
      </c>
      <c r="T23" s="102">
        <f t="shared" si="0"/>
        <v>206</v>
      </c>
      <c r="U23" s="102">
        <f t="shared" si="0"/>
        <v>206</v>
      </c>
      <c r="V23" s="102">
        <f t="shared" si="0"/>
        <v>209</v>
      </c>
      <c r="W23" s="215">
        <f t="shared" si="0"/>
        <v>629</v>
      </c>
      <c r="X23" s="102">
        <f t="shared" si="0"/>
        <v>206</v>
      </c>
      <c r="Y23" s="102">
        <f t="shared" si="0"/>
        <v>210</v>
      </c>
      <c r="Z23" s="102">
        <f t="shared" si="0"/>
        <v>213</v>
      </c>
      <c r="AA23" s="215">
        <f t="shared" si="0"/>
        <v>638</v>
      </c>
      <c r="AB23" s="102">
        <f t="shared" si="0"/>
        <v>211</v>
      </c>
      <c r="AC23" s="102">
        <f t="shared" si="0"/>
        <v>214</v>
      </c>
      <c r="AD23" s="102">
        <f t="shared" si="0"/>
        <v>213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1792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448</v>
      </c>
      <c r="P24" s="45">
        <f t="shared" si="1"/>
        <v>90</v>
      </c>
      <c r="Q24" s="45">
        <f t="shared" si="1"/>
        <v>179</v>
      </c>
      <c r="R24" s="45">
        <f t="shared" si="1"/>
        <v>179</v>
      </c>
      <c r="S24" s="216">
        <f t="shared" si="1"/>
        <v>448</v>
      </c>
      <c r="T24" s="45">
        <f t="shared" si="1"/>
        <v>149</v>
      </c>
      <c r="U24" s="45">
        <f t="shared" si="1"/>
        <v>149</v>
      </c>
      <c r="V24" s="45">
        <f t="shared" si="1"/>
        <v>150</v>
      </c>
      <c r="W24" s="216">
        <f t="shared" si="1"/>
        <v>448</v>
      </c>
      <c r="X24" s="45">
        <f t="shared" si="1"/>
        <v>149</v>
      </c>
      <c r="Y24" s="45">
        <f t="shared" si="1"/>
        <v>149</v>
      </c>
      <c r="Z24" s="45">
        <f t="shared" si="1"/>
        <v>150</v>
      </c>
      <c r="AA24" s="216">
        <f t="shared" si="1"/>
        <v>448</v>
      </c>
      <c r="AB24" s="45">
        <f t="shared" si="1"/>
        <v>149</v>
      </c>
      <c r="AC24" s="45">
        <f t="shared" si="1"/>
        <v>149</v>
      </c>
      <c r="AD24" s="45">
        <f t="shared" si="1"/>
        <v>150</v>
      </c>
      <c r="AE24" s="45"/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1792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448</v>
      </c>
      <c r="P25" s="45">
        <f t="shared" si="2"/>
        <v>90</v>
      </c>
      <c r="Q25" s="45">
        <f t="shared" si="2"/>
        <v>179</v>
      </c>
      <c r="R25" s="45">
        <f t="shared" si="2"/>
        <v>179</v>
      </c>
      <c r="S25" s="216">
        <f t="shared" si="2"/>
        <v>448</v>
      </c>
      <c r="T25" s="45">
        <f t="shared" si="2"/>
        <v>149</v>
      </c>
      <c r="U25" s="45">
        <f t="shared" si="2"/>
        <v>149</v>
      </c>
      <c r="V25" s="45">
        <f t="shared" si="2"/>
        <v>150</v>
      </c>
      <c r="W25" s="216">
        <f t="shared" si="2"/>
        <v>448</v>
      </c>
      <c r="X25" s="45">
        <f t="shared" si="2"/>
        <v>149</v>
      </c>
      <c r="Y25" s="45">
        <f t="shared" si="2"/>
        <v>149</v>
      </c>
      <c r="Z25" s="45">
        <f t="shared" si="2"/>
        <v>150</v>
      </c>
      <c r="AA25" s="216">
        <f t="shared" si="2"/>
        <v>448</v>
      </c>
      <c r="AB25" s="45">
        <f t="shared" si="2"/>
        <v>149</v>
      </c>
      <c r="AC25" s="45">
        <f t="shared" si="2"/>
        <v>149</v>
      </c>
      <c r="AD25" s="45">
        <f t="shared" si="2"/>
        <v>150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1792</v>
      </c>
      <c r="O27" s="214">
        <v>448</v>
      </c>
      <c r="P27" s="184">
        <v>90</v>
      </c>
      <c r="Q27" s="184">
        <v>179</v>
      </c>
      <c r="R27" s="184">
        <v>179</v>
      </c>
      <c r="S27" s="214">
        <v>448</v>
      </c>
      <c r="T27" s="184">
        <v>149</v>
      </c>
      <c r="U27" s="184">
        <v>149</v>
      </c>
      <c r="V27" s="184">
        <v>150</v>
      </c>
      <c r="W27" s="214">
        <v>448</v>
      </c>
      <c r="X27" s="184">
        <v>149</v>
      </c>
      <c r="Y27" s="184">
        <v>149</v>
      </c>
      <c r="Z27" s="184">
        <v>150</v>
      </c>
      <c r="AA27" s="214">
        <v>448</v>
      </c>
      <c r="AB27" s="184">
        <v>149</v>
      </c>
      <c r="AC27" s="184">
        <v>149</v>
      </c>
      <c r="AD27" s="184">
        <v>150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1792</v>
      </c>
      <c r="O28" s="214">
        <f>1792/4</f>
        <v>448</v>
      </c>
      <c r="P28" s="184">
        <v>90</v>
      </c>
      <c r="Q28" s="184">
        <v>179</v>
      </c>
      <c r="R28" s="184">
        <v>179</v>
      </c>
      <c r="S28" s="214">
        <v>448</v>
      </c>
      <c r="T28" s="184">
        <v>149</v>
      </c>
      <c r="U28" s="184">
        <v>149</v>
      </c>
      <c r="V28" s="184">
        <v>150</v>
      </c>
      <c r="W28" s="214">
        <v>448</v>
      </c>
      <c r="X28" s="184">
        <v>149</v>
      </c>
      <c r="Y28" s="184">
        <v>149</v>
      </c>
      <c r="Z28" s="184">
        <v>150</v>
      </c>
      <c r="AA28" s="214">
        <v>448</v>
      </c>
      <c r="AB28" s="184">
        <v>149</v>
      </c>
      <c r="AC28" s="184">
        <v>149</v>
      </c>
      <c r="AD28" s="184">
        <v>150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24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8</v>
      </c>
      <c r="X34" s="43">
        <f t="shared" si="3"/>
        <v>0</v>
      </c>
      <c r="Y34" s="43">
        <f t="shared" si="3"/>
        <v>4</v>
      </c>
      <c r="Z34" s="43">
        <f t="shared" si="3"/>
        <v>4</v>
      </c>
      <c r="AA34" s="219">
        <f t="shared" si="3"/>
        <v>16</v>
      </c>
      <c r="AB34" s="43">
        <f t="shared" si="3"/>
        <v>5</v>
      </c>
      <c r="AC34" s="43">
        <f t="shared" si="3"/>
        <v>7</v>
      </c>
      <c r="AD34" s="43">
        <f t="shared" si="3"/>
        <v>4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24</v>
      </c>
      <c r="O35" s="214"/>
      <c r="P35" s="184"/>
      <c r="Q35" s="184"/>
      <c r="R35" s="184"/>
      <c r="S35" s="214"/>
      <c r="T35" s="184"/>
      <c r="U35" s="184"/>
      <c r="V35" s="184"/>
      <c r="W35" s="214">
        <f>24/3</f>
        <v>8</v>
      </c>
      <c r="X35" s="184"/>
      <c r="Y35" s="184">
        <v>4</v>
      </c>
      <c r="Z35" s="184">
        <v>4</v>
      </c>
      <c r="AA35" s="214">
        <f>24-8</f>
        <v>16</v>
      </c>
      <c r="AB35" s="184">
        <v>5</v>
      </c>
      <c r="AC35" s="184">
        <v>7</v>
      </c>
      <c r="AD35" s="184">
        <v>4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693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19">
        <f t="shared" si="4"/>
        <v>173</v>
      </c>
      <c r="P47" s="43">
        <f t="shared" si="4"/>
        <v>57</v>
      </c>
      <c r="Q47" s="43">
        <f t="shared" si="4"/>
        <v>57</v>
      </c>
      <c r="R47" s="43">
        <f t="shared" si="4"/>
        <v>59</v>
      </c>
      <c r="S47" s="219">
        <f t="shared" si="4"/>
        <v>173</v>
      </c>
      <c r="T47" s="43">
        <f t="shared" si="4"/>
        <v>57</v>
      </c>
      <c r="U47" s="43">
        <f t="shared" si="4"/>
        <v>57</v>
      </c>
      <c r="V47" s="43">
        <f t="shared" si="4"/>
        <v>59</v>
      </c>
      <c r="W47" s="219">
        <f t="shared" si="4"/>
        <v>173</v>
      </c>
      <c r="X47" s="43">
        <f t="shared" si="4"/>
        <v>57</v>
      </c>
      <c r="Y47" s="43">
        <f t="shared" si="4"/>
        <v>57</v>
      </c>
      <c r="Z47" s="43">
        <f t="shared" si="4"/>
        <v>59</v>
      </c>
      <c r="AA47" s="219">
        <f t="shared" si="4"/>
        <v>174</v>
      </c>
      <c r="AB47" s="43">
        <f t="shared" si="4"/>
        <v>57</v>
      </c>
      <c r="AC47" s="43">
        <f t="shared" si="4"/>
        <v>58</v>
      </c>
      <c r="AD47" s="43">
        <f t="shared" si="4"/>
        <v>59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44">
        <f>K50</f>
        <v>609</v>
      </c>
      <c r="L49" s="144">
        <f>L50</f>
        <v>0</v>
      </c>
      <c r="M49" s="144">
        <f>M50</f>
        <v>0</v>
      </c>
      <c r="N49" s="144">
        <f>N50</f>
        <v>0</v>
      </c>
      <c r="O49" s="223">
        <f>O50</f>
        <v>152</v>
      </c>
      <c r="P49" s="144">
        <v>50</v>
      </c>
      <c r="Q49" s="144">
        <v>50</v>
      </c>
      <c r="R49" s="144">
        <v>52</v>
      </c>
      <c r="S49" s="223">
        <f>S50</f>
        <v>152</v>
      </c>
      <c r="T49" s="144">
        <v>50</v>
      </c>
      <c r="U49" s="144">
        <v>50</v>
      </c>
      <c r="V49" s="144">
        <v>52</v>
      </c>
      <c r="W49" s="223">
        <f>W50</f>
        <v>152</v>
      </c>
      <c r="X49" s="144">
        <v>50</v>
      </c>
      <c r="Y49" s="144">
        <v>50</v>
      </c>
      <c r="Z49" s="144">
        <v>52</v>
      </c>
      <c r="AA49" s="223">
        <f>AA50</f>
        <v>153</v>
      </c>
      <c r="AB49" s="144">
        <v>50</v>
      </c>
      <c r="AC49" s="144">
        <v>51</v>
      </c>
      <c r="AD49" s="144">
        <v>52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609</v>
      </c>
      <c r="O50" s="214">
        <v>152</v>
      </c>
      <c r="P50" s="184">
        <v>50</v>
      </c>
      <c r="Q50" s="184">
        <v>50</v>
      </c>
      <c r="R50" s="184">
        <v>52</v>
      </c>
      <c r="S50" s="214">
        <v>152</v>
      </c>
      <c r="T50" s="184">
        <v>50</v>
      </c>
      <c r="U50" s="184">
        <v>50</v>
      </c>
      <c r="V50" s="184">
        <v>52</v>
      </c>
      <c r="W50" s="214">
        <v>152</v>
      </c>
      <c r="X50" s="184">
        <v>50</v>
      </c>
      <c r="Y50" s="184">
        <v>50</v>
      </c>
      <c r="Z50" s="184">
        <v>52</v>
      </c>
      <c r="AA50" s="214">
        <f>K50-O50-S50-W50</f>
        <v>153</v>
      </c>
      <c r="AB50" s="184">
        <v>50</v>
      </c>
      <c r="AC50" s="184">
        <v>51</v>
      </c>
      <c r="AD50" s="184">
        <v>52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84</v>
      </c>
      <c r="L53" s="121">
        <f aca="true" t="shared" si="5" ref="L53:AD53">L54</f>
        <v>0</v>
      </c>
      <c r="M53" s="121">
        <f t="shared" si="5"/>
        <v>0</v>
      </c>
      <c r="N53" s="121">
        <f t="shared" si="5"/>
        <v>0</v>
      </c>
      <c r="O53" s="222">
        <f t="shared" si="5"/>
        <v>21</v>
      </c>
      <c r="P53" s="121">
        <f t="shared" si="5"/>
        <v>7</v>
      </c>
      <c r="Q53" s="121">
        <f t="shared" si="5"/>
        <v>7</v>
      </c>
      <c r="R53" s="121">
        <f t="shared" si="5"/>
        <v>7</v>
      </c>
      <c r="S53" s="222">
        <f t="shared" si="5"/>
        <v>21</v>
      </c>
      <c r="T53" s="121">
        <f t="shared" si="5"/>
        <v>7</v>
      </c>
      <c r="U53" s="121">
        <f t="shared" si="5"/>
        <v>7</v>
      </c>
      <c r="V53" s="121">
        <f t="shared" si="5"/>
        <v>7</v>
      </c>
      <c r="W53" s="222">
        <f t="shared" si="5"/>
        <v>21</v>
      </c>
      <c r="X53" s="121">
        <f t="shared" si="5"/>
        <v>7</v>
      </c>
      <c r="Y53" s="121">
        <f t="shared" si="5"/>
        <v>7</v>
      </c>
      <c r="Z53" s="121">
        <f t="shared" si="5"/>
        <v>7</v>
      </c>
      <c r="AA53" s="222">
        <f t="shared" si="5"/>
        <v>21</v>
      </c>
      <c r="AB53" s="121">
        <f t="shared" si="5"/>
        <v>7</v>
      </c>
      <c r="AC53" s="121">
        <f t="shared" si="5"/>
        <v>7</v>
      </c>
      <c r="AD53" s="121">
        <f t="shared" si="5"/>
        <v>7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84</v>
      </c>
      <c r="O54" s="214">
        <v>21</v>
      </c>
      <c r="P54" s="184">
        <v>7</v>
      </c>
      <c r="Q54" s="184">
        <v>7</v>
      </c>
      <c r="R54" s="184">
        <v>7</v>
      </c>
      <c r="S54" s="214">
        <v>21</v>
      </c>
      <c r="T54" s="184">
        <v>7</v>
      </c>
      <c r="U54" s="184">
        <v>7</v>
      </c>
      <c r="V54" s="184">
        <v>7</v>
      </c>
      <c r="W54" s="214">
        <v>21</v>
      </c>
      <c r="X54" s="184">
        <v>7</v>
      </c>
      <c r="Y54" s="184">
        <v>7</v>
      </c>
      <c r="Z54" s="184">
        <v>7</v>
      </c>
      <c r="AA54" s="214">
        <v>21</v>
      </c>
      <c r="AB54" s="184">
        <v>7</v>
      </c>
      <c r="AC54" s="184">
        <v>7</v>
      </c>
      <c r="AD54" s="184">
        <v>7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v>0</v>
      </c>
      <c r="L61" s="68">
        <v>0</v>
      </c>
      <c r="M61" s="68">
        <v>0</v>
      </c>
      <c r="N61" s="68">
        <v>0</v>
      </c>
      <c r="O61" s="224"/>
      <c r="P61" s="68"/>
      <c r="Q61" s="68"/>
      <c r="R61" s="68"/>
      <c r="S61" s="224"/>
      <c r="T61" s="68"/>
      <c r="U61" s="68"/>
      <c r="V61" s="68"/>
      <c r="W61" s="224"/>
      <c r="X61" s="68"/>
      <c r="Y61" s="68"/>
      <c r="Z61" s="68"/>
      <c r="AA61" s="224"/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/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698</v>
      </c>
      <c r="L66" s="43">
        <f aca="true" t="shared" si="6" ref="L66:AD66">L68+L71+L72+L83+L90+L91</f>
        <v>0</v>
      </c>
      <c r="M66" s="43">
        <f t="shared" si="6"/>
        <v>0</v>
      </c>
      <c r="N66" s="43">
        <f t="shared" si="6"/>
        <v>0</v>
      </c>
      <c r="O66" s="219">
        <f t="shared" si="6"/>
        <v>174</v>
      </c>
      <c r="P66" s="43">
        <f t="shared" si="6"/>
        <v>58</v>
      </c>
      <c r="Q66" s="43">
        <f t="shared" si="6"/>
        <v>58</v>
      </c>
      <c r="R66" s="43">
        <f t="shared" si="6"/>
        <v>58</v>
      </c>
      <c r="S66" s="219">
        <f t="shared" si="6"/>
        <v>174</v>
      </c>
      <c r="T66" s="43">
        <f t="shared" si="6"/>
        <v>58</v>
      </c>
      <c r="U66" s="43">
        <f t="shared" si="6"/>
        <v>58</v>
      </c>
      <c r="V66" s="43">
        <f t="shared" si="6"/>
        <v>58</v>
      </c>
      <c r="W66" s="219">
        <f t="shared" si="6"/>
        <v>175</v>
      </c>
      <c r="X66" s="43">
        <f t="shared" si="6"/>
        <v>58</v>
      </c>
      <c r="Y66" s="43">
        <f t="shared" si="6"/>
        <v>58</v>
      </c>
      <c r="Z66" s="43">
        <f t="shared" si="6"/>
        <v>59</v>
      </c>
      <c r="AA66" s="219">
        <f t="shared" si="6"/>
        <v>175</v>
      </c>
      <c r="AB66" s="43">
        <f t="shared" si="6"/>
        <v>58</v>
      </c>
      <c r="AC66" s="43">
        <f t="shared" si="6"/>
        <v>58</v>
      </c>
      <c r="AD66" s="43">
        <f t="shared" si="6"/>
        <v>59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674</v>
      </c>
      <c r="L68" s="45">
        <f aca="true" t="shared" si="7" ref="L68:AD68">L69+L70+L71</f>
        <v>0</v>
      </c>
      <c r="M68" s="45">
        <f t="shared" si="7"/>
        <v>0</v>
      </c>
      <c r="N68" s="45">
        <f t="shared" si="7"/>
        <v>0</v>
      </c>
      <c r="O68" s="216">
        <f t="shared" si="7"/>
        <v>168</v>
      </c>
      <c r="P68" s="45">
        <f t="shared" si="7"/>
        <v>56</v>
      </c>
      <c r="Q68" s="45">
        <f t="shared" si="7"/>
        <v>56</v>
      </c>
      <c r="R68" s="45">
        <f t="shared" si="7"/>
        <v>56</v>
      </c>
      <c r="S68" s="216">
        <f t="shared" si="7"/>
        <v>168</v>
      </c>
      <c r="T68" s="45">
        <f t="shared" si="7"/>
        <v>56</v>
      </c>
      <c r="U68" s="45">
        <f t="shared" si="7"/>
        <v>56</v>
      </c>
      <c r="V68" s="45">
        <f t="shared" si="7"/>
        <v>56</v>
      </c>
      <c r="W68" s="216">
        <f t="shared" si="7"/>
        <v>169</v>
      </c>
      <c r="X68" s="45">
        <f t="shared" si="7"/>
        <v>56</v>
      </c>
      <c r="Y68" s="45">
        <f t="shared" si="7"/>
        <v>56</v>
      </c>
      <c r="Z68" s="45">
        <f t="shared" si="7"/>
        <v>57</v>
      </c>
      <c r="AA68" s="216">
        <f t="shared" si="7"/>
        <v>169</v>
      </c>
      <c r="AB68" s="45">
        <f t="shared" si="7"/>
        <v>56</v>
      </c>
      <c r="AC68" s="45">
        <f t="shared" si="7"/>
        <v>56</v>
      </c>
      <c r="AD68" s="45">
        <f t="shared" si="7"/>
        <v>57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674</v>
      </c>
      <c r="O69" s="214">
        <v>168</v>
      </c>
      <c r="P69" s="184">
        <v>56</v>
      </c>
      <c r="Q69" s="184">
        <v>56</v>
      </c>
      <c r="R69" s="184">
        <v>56</v>
      </c>
      <c r="S69" s="214">
        <v>168</v>
      </c>
      <c r="T69" s="184">
        <v>56</v>
      </c>
      <c r="U69" s="184">
        <v>56</v>
      </c>
      <c r="V69" s="184">
        <v>56</v>
      </c>
      <c r="W69" s="214">
        <v>169</v>
      </c>
      <c r="X69" s="184">
        <v>56</v>
      </c>
      <c r="Y69" s="184">
        <v>56</v>
      </c>
      <c r="Z69" s="184">
        <v>57</v>
      </c>
      <c r="AA69" s="214">
        <v>169</v>
      </c>
      <c r="AB69" s="184">
        <v>56</v>
      </c>
      <c r="AC69" s="184">
        <v>56</v>
      </c>
      <c r="AD69" s="184">
        <v>57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144">
        <v>0</v>
      </c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144">
        <v>0</v>
      </c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24</v>
      </c>
      <c r="O90" s="214">
        <f>K90/4</f>
        <v>6</v>
      </c>
      <c r="P90" s="184">
        <v>2</v>
      </c>
      <c r="Q90" s="184">
        <v>2</v>
      </c>
      <c r="R90" s="184">
        <v>2</v>
      </c>
      <c r="S90" s="214">
        <v>6</v>
      </c>
      <c r="T90" s="184">
        <v>2</v>
      </c>
      <c r="U90" s="184">
        <v>2</v>
      </c>
      <c r="V90" s="184">
        <v>2</v>
      </c>
      <c r="W90" s="214">
        <v>6</v>
      </c>
      <c r="X90" s="184">
        <v>2</v>
      </c>
      <c r="Y90" s="184">
        <v>2</v>
      </c>
      <c r="Z90" s="184">
        <v>2</v>
      </c>
      <c r="AA90" s="214">
        <v>6</v>
      </c>
      <c r="AB90" s="184">
        <v>2</v>
      </c>
      <c r="AC90" s="184">
        <v>2</v>
      </c>
      <c r="AD90" s="184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87</v>
      </c>
      <c r="L92" s="43">
        <f aca="true" t="shared" si="8" ref="L92:AD92">L94+L96</f>
        <v>0</v>
      </c>
      <c r="M92" s="43">
        <f t="shared" si="8"/>
        <v>0</v>
      </c>
      <c r="N92" s="43">
        <f t="shared" si="8"/>
        <v>0</v>
      </c>
      <c r="O92" s="219">
        <f t="shared" si="8"/>
        <v>21</v>
      </c>
      <c r="P92" s="43">
        <f t="shared" si="8"/>
        <v>6</v>
      </c>
      <c r="Q92" s="43">
        <f t="shared" si="8"/>
        <v>7</v>
      </c>
      <c r="R92" s="43">
        <f t="shared" si="8"/>
        <v>8</v>
      </c>
      <c r="S92" s="219">
        <f t="shared" si="8"/>
        <v>22</v>
      </c>
      <c r="T92" s="43">
        <f t="shared" si="8"/>
        <v>7</v>
      </c>
      <c r="U92" s="43">
        <f t="shared" si="8"/>
        <v>7</v>
      </c>
      <c r="V92" s="43">
        <f t="shared" si="8"/>
        <v>8</v>
      </c>
      <c r="W92" s="219">
        <f t="shared" si="8"/>
        <v>21</v>
      </c>
      <c r="X92" s="43">
        <f t="shared" si="8"/>
        <v>6</v>
      </c>
      <c r="Y92" s="43">
        <f t="shared" si="8"/>
        <v>7</v>
      </c>
      <c r="Z92" s="43">
        <f t="shared" si="8"/>
        <v>8</v>
      </c>
      <c r="AA92" s="219">
        <f t="shared" si="8"/>
        <v>23</v>
      </c>
      <c r="AB92" s="43">
        <f t="shared" si="8"/>
        <v>7</v>
      </c>
      <c r="AC92" s="43">
        <f t="shared" si="8"/>
        <v>8</v>
      </c>
      <c r="AD92" s="43">
        <f t="shared" si="8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34</v>
      </c>
      <c r="L93" s="108">
        <f aca="true" t="shared" si="9" ref="L93:AD93">L94</f>
        <v>0</v>
      </c>
      <c r="M93" s="108">
        <f t="shared" si="9"/>
        <v>0</v>
      </c>
      <c r="N93" s="108">
        <f t="shared" si="9"/>
        <v>0</v>
      </c>
      <c r="O93" s="225">
        <f t="shared" si="9"/>
        <v>8</v>
      </c>
      <c r="P93" s="108">
        <f t="shared" si="9"/>
        <v>2</v>
      </c>
      <c r="Q93" s="108">
        <f t="shared" si="9"/>
        <v>3</v>
      </c>
      <c r="R93" s="108">
        <f t="shared" si="9"/>
        <v>3</v>
      </c>
      <c r="S93" s="225">
        <f t="shared" si="9"/>
        <v>9</v>
      </c>
      <c r="T93" s="108">
        <f t="shared" si="9"/>
        <v>3</v>
      </c>
      <c r="U93" s="108">
        <f t="shared" si="9"/>
        <v>3</v>
      </c>
      <c r="V93" s="108">
        <f t="shared" si="9"/>
        <v>3</v>
      </c>
      <c r="W93" s="225">
        <f t="shared" si="9"/>
        <v>8</v>
      </c>
      <c r="X93" s="108">
        <f t="shared" si="9"/>
        <v>2</v>
      </c>
      <c r="Y93" s="108">
        <f t="shared" si="9"/>
        <v>3</v>
      </c>
      <c r="Z93" s="108">
        <f t="shared" si="9"/>
        <v>3</v>
      </c>
      <c r="AA93" s="225">
        <f t="shared" si="9"/>
        <v>9</v>
      </c>
      <c r="AB93" s="108">
        <f t="shared" si="9"/>
        <v>3</v>
      </c>
      <c r="AC93" s="108">
        <f t="shared" si="9"/>
        <v>3</v>
      </c>
      <c r="AD93" s="108">
        <f t="shared" si="9"/>
        <v>3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34</v>
      </c>
      <c r="O94" s="214">
        <v>8</v>
      </c>
      <c r="P94" s="184">
        <v>2</v>
      </c>
      <c r="Q94" s="184">
        <v>3</v>
      </c>
      <c r="R94" s="184">
        <v>3</v>
      </c>
      <c r="S94" s="214">
        <v>9</v>
      </c>
      <c r="T94" s="184">
        <v>3</v>
      </c>
      <c r="U94" s="184">
        <v>3</v>
      </c>
      <c r="V94" s="184">
        <v>3</v>
      </c>
      <c r="W94" s="214">
        <v>8</v>
      </c>
      <c r="X94" s="184">
        <v>2</v>
      </c>
      <c r="Y94" s="184">
        <v>3</v>
      </c>
      <c r="Z94" s="184">
        <v>3</v>
      </c>
      <c r="AA94" s="214">
        <v>9</v>
      </c>
      <c r="AB94" s="184">
        <v>3</v>
      </c>
      <c r="AC94" s="184">
        <v>3</v>
      </c>
      <c r="AD94" s="184">
        <v>3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53</v>
      </c>
      <c r="L95" s="108">
        <f aca="true" t="shared" si="10" ref="L95:AD95">L96</f>
        <v>0</v>
      </c>
      <c r="M95" s="108">
        <f t="shared" si="10"/>
        <v>0</v>
      </c>
      <c r="N95" s="108">
        <f t="shared" si="10"/>
        <v>0</v>
      </c>
      <c r="O95" s="225">
        <f t="shared" si="10"/>
        <v>13</v>
      </c>
      <c r="P95" s="108">
        <f t="shared" si="10"/>
        <v>4</v>
      </c>
      <c r="Q95" s="108">
        <f t="shared" si="10"/>
        <v>4</v>
      </c>
      <c r="R95" s="108">
        <f t="shared" si="10"/>
        <v>5</v>
      </c>
      <c r="S95" s="225">
        <f t="shared" si="10"/>
        <v>13</v>
      </c>
      <c r="T95" s="108">
        <f t="shared" si="10"/>
        <v>4</v>
      </c>
      <c r="U95" s="108">
        <f t="shared" si="10"/>
        <v>4</v>
      </c>
      <c r="V95" s="108">
        <f t="shared" si="10"/>
        <v>5</v>
      </c>
      <c r="W95" s="225">
        <f t="shared" si="10"/>
        <v>13</v>
      </c>
      <c r="X95" s="108">
        <f t="shared" si="10"/>
        <v>4</v>
      </c>
      <c r="Y95" s="108">
        <f t="shared" si="10"/>
        <v>4</v>
      </c>
      <c r="Z95" s="108">
        <f t="shared" si="10"/>
        <v>5</v>
      </c>
      <c r="AA95" s="225">
        <f t="shared" si="10"/>
        <v>14</v>
      </c>
      <c r="AB95" s="108">
        <f t="shared" si="10"/>
        <v>4</v>
      </c>
      <c r="AC95" s="108">
        <f t="shared" si="10"/>
        <v>5</v>
      </c>
      <c r="AD95" s="108">
        <f t="shared" si="10"/>
        <v>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53</v>
      </c>
      <c r="O96" s="214">
        <v>13</v>
      </c>
      <c r="P96" s="184">
        <v>4</v>
      </c>
      <c r="Q96" s="184">
        <v>4</v>
      </c>
      <c r="R96" s="184">
        <v>5</v>
      </c>
      <c r="S96" s="214">
        <v>13</v>
      </c>
      <c r="T96" s="184">
        <v>4</v>
      </c>
      <c r="U96" s="184">
        <v>4</v>
      </c>
      <c r="V96" s="184">
        <v>5</v>
      </c>
      <c r="W96" s="214">
        <v>13</v>
      </c>
      <c r="X96" s="184">
        <v>4</v>
      </c>
      <c r="Y96" s="184">
        <v>4</v>
      </c>
      <c r="Z96" s="184">
        <v>5</v>
      </c>
      <c r="AA96" s="214">
        <v>14</v>
      </c>
      <c r="AB96" s="184">
        <v>4</v>
      </c>
      <c r="AC96" s="184">
        <v>5</v>
      </c>
      <c r="AD96" s="184">
        <v>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3294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6">
        <f t="shared" si="11"/>
        <v>816</v>
      </c>
      <c r="P97" s="51">
        <f t="shared" si="11"/>
        <v>211</v>
      </c>
      <c r="Q97" s="51">
        <f t="shared" si="11"/>
        <v>301</v>
      </c>
      <c r="R97" s="51">
        <f t="shared" si="11"/>
        <v>304</v>
      </c>
      <c r="S97" s="226">
        <f t="shared" si="11"/>
        <v>817</v>
      </c>
      <c r="T97" s="51">
        <f t="shared" si="11"/>
        <v>271</v>
      </c>
      <c r="U97" s="51">
        <f t="shared" si="11"/>
        <v>271</v>
      </c>
      <c r="V97" s="51">
        <f t="shared" si="11"/>
        <v>275</v>
      </c>
      <c r="W97" s="226">
        <f t="shared" si="11"/>
        <v>825</v>
      </c>
      <c r="X97" s="51">
        <f t="shared" si="11"/>
        <v>270</v>
      </c>
      <c r="Y97" s="51">
        <f t="shared" si="11"/>
        <v>275</v>
      </c>
      <c r="Z97" s="51">
        <f t="shared" si="11"/>
        <v>280</v>
      </c>
      <c r="AA97" s="226">
        <f t="shared" si="11"/>
        <v>836</v>
      </c>
      <c r="AB97" s="51">
        <f t="shared" si="11"/>
        <v>276</v>
      </c>
      <c r="AC97" s="51">
        <f t="shared" si="11"/>
        <v>280</v>
      </c>
      <c r="AD97" s="51">
        <f t="shared" si="11"/>
        <v>280</v>
      </c>
    </row>
    <row r="98" spans="15:27" ht="12.75">
      <c r="O98" s="210">
        <f>SUM(P97:R97)</f>
        <v>816</v>
      </c>
      <c r="S98" s="210">
        <f>SUM(T97:V97)</f>
        <v>817</v>
      </c>
      <c r="W98" s="210">
        <f>SUM(X97:Z97)</f>
        <v>825</v>
      </c>
      <c r="AA98" s="210">
        <f>SUM(AB97:AD97)</f>
        <v>836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6645" topLeftCell="S1" activePane="topRight" state="split"/>
      <selection pane="topLeft" activeCell="A84" sqref="A84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124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1189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>O24+O31+O34+O38+O41+O47+O55+O64+O65+O61</f>
        <v>275</v>
      </c>
      <c r="P23" s="102">
        <f>P24+P31+P34+P38+P41+P47+P55+P64+P65+P61</f>
        <v>55</v>
      </c>
      <c r="Q23" s="102">
        <f t="shared" si="0"/>
        <v>109.5</v>
      </c>
      <c r="R23" s="102">
        <f t="shared" si="0"/>
        <v>110.5</v>
      </c>
      <c r="S23" s="215">
        <f t="shared" si="0"/>
        <v>306</v>
      </c>
      <c r="T23" s="102">
        <f t="shared" si="0"/>
        <v>122</v>
      </c>
      <c r="U23" s="102">
        <f t="shared" si="0"/>
        <v>91.5</v>
      </c>
      <c r="V23" s="102">
        <f t="shared" si="0"/>
        <v>92.5</v>
      </c>
      <c r="W23" s="215">
        <f t="shared" si="0"/>
        <v>300</v>
      </c>
      <c r="X23" s="102">
        <f t="shared" si="0"/>
        <v>91</v>
      </c>
      <c r="Y23" s="102">
        <f t="shared" si="0"/>
        <v>93.5</v>
      </c>
      <c r="Z23" s="102">
        <f t="shared" si="0"/>
        <v>115.5</v>
      </c>
      <c r="AA23" s="215">
        <f t="shared" si="0"/>
        <v>308</v>
      </c>
      <c r="AB23" s="102">
        <f t="shared" si="0"/>
        <v>95.5</v>
      </c>
      <c r="AC23" s="102">
        <f t="shared" si="0"/>
        <v>96.5</v>
      </c>
      <c r="AD23" s="102">
        <f t="shared" si="0"/>
        <v>116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1081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270</v>
      </c>
      <c r="P24" s="45">
        <f t="shared" si="1"/>
        <v>54</v>
      </c>
      <c r="Q24" s="45">
        <f t="shared" si="1"/>
        <v>108</v>
      </c>
      <c r="R24" s="45">
        <f t="shared" si="1"/>
        <v>108</v>
      </c>
      <c r="S24" s="216">
        <f t="shared" si="1"/>
        <v>270</v>
      </c>
      <c r="T24" s="45">
        <f t="shared" si="1"/>
        <v>90</v>
      </c>
      <c r="U24" s="45">
        <f t="shared" si="1"/>
        <v>90</v>
      </c>
      <c r="V24" s="45">
        <f t="shared" si="1"/>
        <v>90</v>
      </c>
      <c r="W24" s="216">
        <f t="shared" si="1"/>
        <v>270</v>
      </c>
      <c r="X24" s="45">
        <f t="shared" si="1"/>
        <v>90</v>
      </c>
      <c r="Y24" s="45">
        <f t="shared" si="1"/>
        <v>90</v>
      </c>
      <c r="Z24" s="45">
        <f t="shared" si="1"/>
        <v>90</v>
      </c>
      <c r="AA24" s="216">
        <f t="shared" si="1"/>
        <v>271</v>
      </c>
      <c r="AB24" s="45">
        <f t="shared" si="1"/>
        <v>90</v>
      </c>
      <c r="AC24" s="45">
        <f t="shared" si="1"/>
        <v>90</v>
      </c>
      <c r="AD24" s="45">
        <f t="shared" si="1"/>
        <v>91</v>
      </c>
    </row>
    <row r="25" spans="1:30" ht="13.5" customHeigh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1081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270</v>
      </c>
      <c r="P25" s="45">
        <f t="shared" si="2"/>
        <v>54</v>
      </c>
      <c r="Q25" s="45">
        <f t="shared" si="2"/>
        <v>108</v>
      </c>
      <c r="R25" s="45">
        <f t="shared" si="2"/>
        <v>108</v>
      </c>
      <c r="S25" s="216">
        <f t="shared" si="2"/>
        <v>270</v>
      </c>
      <c r="T25" s="45">
        <f t="shared" si="2"/>
        <v>90</v>
      </c>
      <c r="U25" s="45">
        <f t="shared" si="2"/>
        <v>90</v>
      </c>
      <c r="V25" s="45">
        <f t="shared" si="2"/>
        <v>90</v>
      </c>
      <c r="W25" s="216">
        <f t="shared" si="2"/>
        <v>270</v>
      </c>
      <c r="X25" s="45">
        <f t="shared" si="2"/>
        <v>90</v>
      </c>
      <c r="Y25" s="45">
        <f t="shared" si="2"/>
        <v>90</v>
      </c>
      <c r="Z25" s="45">
        <f t="shared" si="2"/>
        <v>90</v>
      </c>
      <c r="AA25" s="216">
        <f t="shared" si="2"/>
        <v>271</v>
      </c>
      <c r="AB25" s="45">
        <f t="shared" si="2"/>
        <v>90</v>
      </c>
      <c r="AC25" s="45">
        <f t="shared" si="2"/>
        <v>90</v>
      </c>
      <c r="AD25" s="45">
        <f t="shared" si="2"/>
        <v>91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207"/>
      <c r="Y26" s="207"/>
      <c r="Z26" s="207"/>
      <c r="AA26" s="237"/>
      <c r="AB26" s="207"/>
      <c r="AC26" s="207"/>
      <c r="AD26" s="207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1081</v>
      </c>
      <c r="O27" s="214">
        <v>270</v>
      </c>
      <c r="P27" s="184">
        <v>54</v>
      </c>
      <c r="Q27" s="184">
        <v>108</v>
      </c>
      <c r="R27" s="184">
        <v>108</v>
      </c>
      <c r="S27" s="214">
        <v>270</v>
      </c>
      <c r="T27" s="184">
        <v>90</v>
      </c>
      <c r="U27" s="184">
        <v>90</v>
      </c>
      <c r="V27" s="184">
        <v>90</v>
      </c>
      <c r="W27" s="214">
        <v>270</v>
      </c>
      <c r="X27" s="207">
        <v>90</v>
      </c>
      <c r="Y27" s="207">
        <v>90</v>
      </c>
      <c r="Z27" s="207">
        <v>90</v>
      </c>
      <c r="AA27" s="237">
        <v>271</v>
      </c>
      <c r="AB27" s="207">
        <v>90</v>
      </c>
      <c r="AC27" s="207">
        <v>90</v>
      </c>
      <c r="AD27" s="207">
        <v>91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1081</v>
      </c>
      <c r="O28" s="214">
        <v>270</v>
      </c>
      <c r="P28" s="184">
        <v>54</v>
      </c>
      <c r="Q28" s="184">
        <v>108</v>
      </c>
      <c r="R28" s="184">
        <v>108</v>
      </c>
      <c r="S28" s="214">
        <v>270</v>
      </c>
      <c r="T28" s="184">
        <v>90</v>
      </c>
      <c r="U28" s="184">
        <v>90</v>
      </c>
      <c r="V28" s="184">
        <v>90</v>
      </c>
      <c r="W28" s="214">
        <v>270</v>
      </c>
      <c r="X28" s="207">
        <v>90</v>
      </c>
      <c r="Y28" s="207">
        <v>90</v>
      </c>
      <c r="Z28" s="207">
        <v>90</v>
      </c>
      <c r="AA28" s="237">
        <v>271</v>
      </c>
      <c r="AB28" s="207">
        <v>90</v>
      </c>
      <c r="AC28" s="207">
        <v>90</v>
      </c>
      <c r="AD28" s="207">
        <v>91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207"/>
      <c r="Y29" s="207"/>
      <c r="Z29" s="207"/>
      <c r="AA29" s="237"/>
      <c r="AB29" s="207"/>
      <c r="AC29" s="207"/>
      <c r="AD29" s="207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207"/>
      <c r="Y30" s="207"/>
      <c r="Z30" s="207"/>
      <c r="AA30" s="237"/>
      <c r="AB30" s="207"/>
      <c r="AC30" s="207"/>
      <c r="AD30" s="207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191"/>
      <c r="Y31" s="191"/>
      <c r="Z31" s="191"/>
      <c r="AA31" s="239">
        <f>AA32+AA33</f>
        <v>0</v>
      </c>
      <c r="AB31" s="191"/>
      <c r="AC31" s="191"/>
      <c r="AD31" s="191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207"/>
      <c r="Y32" s="207"/>
      <c r="Z32" s="207"/>
      <c r="AA32" s="237"/>
      <c r="AB32" s="207"/>
      <c r="AC32" s="207"/>
      <c r="AD32" s="207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207"/>
      <c r="Y33" s="207"/>
      <c r="Z33" s="207"/>
      <c r="AA33" s="237"/>
      <c r="AB33" s="207"/>
      <c r="AC33" s="207"/>
      <c r="AD33" s="207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85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30</v>
      </c>
      <c r="T34" s="43">
        <f t="shared" si="3"/>
        <v>30</v>
      </c>
      <c r="U34" s="43">
        <f t="shared" si="3"/>
        <v>0</v>
      </c>
      <c r="V34" s="43">
        <f t="shared" si="3"/>
        <v>0</v>
      </c>
      <c r="W34" s="219">
        <f t="shared" si="3"/>
        <v>25</v>
      </c>
      <c r="X34" s="43">
        <f t="shared" si="3"/>
        <v>0</v>
      </c>
      <c r="Y34" s="43">
        <f t="shared" si="3"/>
        <v>2</v>
      </c>
      <c r="Z34" s="43">
        <f t="shared" si="3"/>
        <v>23</v>
      </c>
      <c r="AA34" s="219">
        <f t="shared" si="3"/>
        <v>30</v>
      </c>
      <c r="AB34" s="43">
        <f t="shared" si="3"/>
        <v>3</v>
      </c>
      <c r="AC34" s="43">
        <f t="shared" si="3"/>
        <v>5</v>
      </c>
      <c r="AD34" s="43">
        <f t="shared" si="3"/>
        <v>22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15</v>
      </c>
      <c r="O35" s="214"/>
      <c r="P35" s="184"/>
      <c r="Q35" s="184"/>
      <c r="R35" s="184"/>
      <c r="S35" s="214"/>
      <c r="T35" s="184"/>
      <c r="U35" s="184"/>
      <c r="V35" s="184"/>
      <c r="W35" s="214">
        <f>15/3</f>
        <v>5</v>
      </c>
      <c r="X35" s="207"/>
      <c r="Y35" s="207">
        <v>2</v>
      </c>
      <c r="Z35" s="207">
        <v>3</v>
      </c>
      <c r="AA35" s="237">
        <v>10</v>
      </c>
      <c r="AB35" s="207">
        <v>3</v>
      </c>
      <c r="AC35" s="207">
        <v>5</v>
      </c>
      <c r="AD35" s="207">
        <v>2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207"/>
      <c r="Y36" s="207"/>
      <c r="Z36" s="207"/>
      <c r="AA36" s="237"/>
      <c r="AB36" s="207"/>
      <c r="AC36" s="207"/>
      <c r="AD36" s="207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70</v>
      </c>
      <c r="O37" s="214"/>
      <c r="P37" s="184"/>
      <c r="Q37" s="184"/>
      <c r="R37" s="184"/>
      <c r="S37" s="214">
        <v>30</v>
      </c>
      <c r="T37" s="184">
        <v>30</v>
      </c>
      <c r="U37" s="184"/>
      <c r="V37" s="184"/>
      <c r="W37" s="214">
        <v>20</v>
      </c>
      <c r="X37" s="207"/>
      <c r="Y37" s="207"/>
      <c r="Z37" s="207">
        <v>20</v>
      </c>
      <c r="AA37" s="237">
        <v>20</v>
      </c>
      <c r="AB37" s="207"/>
      <c r="AC37" s="207"/>
      <c r="AD37" s="207">
        <v>20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193"/>
      <c r="Y38" s="193"/>
      <c r="Z38" s="193"/>
      <c r="AA38" s="247">
        <f>AA39+AA40</f>
        <v>0</v>
      </c>
      <c r="AB38" s="193"/>
      <c r="AC38" s="193"/>
      <c r="AD38" s="193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207"/>
      <c r="Y39" s="207"/>
      <c r="Z39" s="207"/>
      <c r="AA39" s="237"/>
      <c r="AB39" s="207"/>
      <c r="AC39" s="207"/>
      <c r="AD39" s="207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207"/>
      <c r="Y40" s="207"/>
      <c r="Z40" s="207"/>
      <c r="AA40" s="237"/>
      <c r="AB40" s="207"/>
      <c r="AC40" s="207"/>
      <c r="AD40" s="207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208"/>
      <c r="Y41" s="208"/>
      <c r="Z41" s="208"/>
      <c r="AA41" s="274">
        <f>AA43+AA45+AA46+AA44</f>
        <v>0</v>
      </c>
      <c r="AB41" s="208"/>
      <c r="AC41" s="208"/>
      <c r="AD41" s="208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207"/>
      <c r="Y42" s="207"/>
      <c r="Z42" s="207"/>
      <c r="AA42" s="237"/>
      <c r="AB42" s="207"/>
      <c r="AC42" s="207"/>
      <c r="AD42" s="207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207"/>
      <c r="Y43" s="207"/>
      <c r="Z43" s="207"/>
      <c r="AA43" s="237"/>
      <c r="AB43" s="207"/>
      <c r="AC43" s="207"/>
      <c r="AD43" s="207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207"/>
      <c r="Y44" s="207"/>
      <c r="Z44" s="207"/>
      <c r="AA44" s="237"/>
      <c r="AB44" s="207"/>
      <c r="AC44" s="207"/>
      <c r="AD44" s="207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207"/>
      <c r="Y45" s="207"/>
      <c r="Z45" s="207"/>
      <c r="AA45" s="237"/>
      <c r="AB45" s="207"/>
      <c r="AC45" s="207"/>
      <c r="AD45" s="207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207"/>
      <c r="Y46" s="207"/>
      <c r="Z46" s="207"/>
      <c r="AA46" s="237"/>
      <c r="AB46" s="207"/>
      <c r="AC46" s="207"/>
      <c r="AD46" s="207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23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19">
        <f t="shared" si="4"/>
        <v>5</v>
      </c>
      <c r="P47" s="43">
        <f t="shared" si="4"/>
        <v>1</v>
      </c>
      <c r="Q47" s="43">
        <f t="shared" si="4"/>
        <v>1.5</v>
      </c>
      <c r="R47" s="43">
        <f t="shared" si="4"/>
        <v>2.5</v>
      </c>
      <c r="S47" s="219">
        <f t="shared" si="4"/>
        <v>6</v>
      </c>
      <c r="T47" s="43">
        <f t="shared" si="4"/>
        <v>2</v>
      </c>
      <c r="U47" s="43">
        <f t="shared" si="4"/>
        <v>1.5</v>
      </c>
      <c r="V47" s="43">
        <f t="shared" si="4"/>
        <v>2.5</v>
      </c>
      <c r="W47" s="219">
        <f t="shared" si="4"/>
        <v>5</v>
      </c>
      <c r="X47" s="43">
        <f t="shared" si="4"/>
        <v>1</v>
      </c>
      <c r="Y47" s="43">
        <f t="shared" si="4"/>
        <v>1.5</v>
      </c>
      <c r="Z47" s="43">
        <f t="shared" si="4"/>
        <v>2.5</v>
      </c>
      <c r="AA47" s="219">
        <f t="shared" si="4"/>
        <v>7</v>
      </c>
      <c r="AB47" s="43">
        <f t="shared" si="4"/>
        <v>2.5</v>
      </c>
      <c r="AC47" s="43">
        <f t="shared" si="4"/>
        <v>1.5</v>
      </c>
      <c r="AD47" s="43">
        <f t="shared" si="4"/>
        <v>3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207"/>
      <c r="Y48" s="207"/>
      <c r="Z48" s="207"/>
      <c r="AA48" s="237"/>
      <c r="AB48" s="207"/>
      <c r="AC48" s="207"/>
      <c r="AD48" s="207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18</v>
      </c>
      <c r="L49" s="121">
        <f aca="true" t="shared" si="5" ref="L49:AD49">L50</f>
        <v>0</v>
      </c>
      <c r="M49" s="121">
        <f t="shared" si="5"/>
        <v>0</v>
      </c>
      <c r="N49" s="121">
        <f t="shared" si="5"/>
        <v>0</v>
      </c>
      <c r="O49" s="222">
        <f t="shared" si="5"/>
        <v>4</v>
      </c>
      <c r="P49" s="121">
        <f t="shared" si="5"/>
        <v>1</v>
      </c>
      <c r="Q49" s="121">
        <f t="shared" si="5"/>
        <v>1</v>
      </c>
      <c r="R49" s="121">
        <f t="shared" si="5"/>
        <v>2</v>
      </c>
      <c r="S49" s="222">
        <f t="shared" si="5"/>
        <v>5</v>
      </c>
      <c r="T49" s="121">
        <f t="shared" si="5"/>
        <v>2</v>
      </c>
      <c r="U49" s="121">
        <f t="shared" si="5"/>
        <v>1</v>
      </c>
      <c r="V49" s="121">
        <f t="shared" si="5"/>
        <v>2</v>
      </c>
      <c r="W49" s="222">
        <f t="shared" si="5"/>
        <v>4</v>
      </c>
      <c r="X49" s="121">
        <f t="shared" si="5"/>
        <v>1</v>
      </c>
      <c r="Y49" s="121">
        <f t="shared" si="5"/>
        <v>1</v>
      </c>
      <c r="Z49" s="121">
        <f t="shared" si="5"/>
        <v>2</v>
      </c>
      <c r="AA49" s="222">
        <f t="shared" si="5"/>
        <v>5</v>
      </c>
      <c r="AB49" s="121">
        <f t="shared" si="5"/>
        <v>2</v>
      </c>
      <c r="AC49" s="121">
        <f t="shared" si="5"/>
        <v>1</v>
      </c>
      <c r="AD49" s="121">
        <f t="shared" si="5"/>
        <v>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18</v>
      </c>
      <c r="O50" s="214">
        <v>4</v>
      </c>
      <c r="P50" s="184">
        <v>1</v>
      </c>
      <c r="Q50" s="184">
        <v>1</v>
      </c>
      <c r="R50" s="184">
        <v>2</v>
      </c>
      <c r="S50" s="214">
        <v>5</v>
      </c>
      <c r="T50" s="184">
        <v>2</v>
      </c>
      <c r="U50" s="184">
        <v>1</v>
      </c>
      <c r="V50" s="184">
        <v>2</v>
      </c>
      <c r="W50" s="214">
        <v>4</v>
      </c>
      <c r="X50" s="207">
        <v>1</v>
      </c>
      <c r="Y50" s="207">
        <v>1</v>
      </c>
      <c r="Z50" s="207">
        <v>2</v>
      </c>
      <c r="AA50" s="237">
        <v>5</v>
      </c>
      <c r="AB50" s="207">
        <v>2</v>
      </c>
      <c r="AC50" s="207">
        <v>1</v>
      </c>
      <c r="AD50" s="207">
        <v>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207"/>
      <c r="Y51" s="207"/>
      <c r="Z51" s="207"/>
      <c r="AA51" s="237"/>
      <c r="AB51" s="207"/>
      <c r="AC51" s="207"/>
      <c r="AD51" s="207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207"/>
      <c r="Y52" s="207"/>
      <c r="Z52" s="207"/>
      <c r="AA52" s="237"/>
      <c r="AB52" s="207"/>
      <c r="AC52" s="207"/>
      <c r="AD52" s="207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5</v>
      </c>
      <c r="L53" s="121">
        <f aca="true" t="shared" si="6" ref="L53:AD53">L54</f>
        <v>0</v>
      </c>
      <c r="M53" s="121">
        <f t="shared" si="6"/>
        <v>0</v>
      </c>
      <c r="N53" s="121">
        <f t="shared" si="6"/>
        <v>0</v>
      </c>
      <c r="O53" s="222">
        <f t="shared" si="6"/>
        <v>1</v>
      </c>
      <c r="P53" s="121">
        <f t="shared" si="6"/>
        <v>0</v>
      </c>
      <c r="Q53" s="121">
        <f t="shared" si="6"/>
        <v>0.5</v>
      </c>
      <c r="R53" s="121">
        <f t="shared" si="6"/>
        <v>0.5</v>
      </c>
      <c r="S53" s="222">
        <f t="shared" si="6"/>
        <v>1</v>
      </c>
      <c r="T53" s="121">
        <f t="shared" si="6"/>
        <v>0</v>
      </c>
      <c r="U53" s="121">
        <f t="shared" si="6"/>
        <v>0.5</v>
      </c>
      <c r="V53" s="121">
        <f t="shared" si="6"/>
        <v>0.5</v>
      </c>
      <c r="W53" s="222">
        <f t="shared" si="6"/>
        <v>1</v>
      </c>
      <c r="X53" s="121">
        <f t="shared" si="6"/>
        <v>0</v>
      </c>
      <c r="Y53" s="121">
        <f t="shared" si="6"/>
        <v>0.5</v>
      </c>
      <c r="Z53" s="121">
        <f t="shared" si="6"/>
        <v>0.5</v>
      </c>
      <c r="AA53" s="222">
        <f t="shared" si="6"/>
        <v>2</v>
      </c>
      <c r="AB53" s="121">
        <f t="shared" si="6"/>
        <v>0.5</v>
      </c>
      <c r="AC53" s="121">
        <f t="shared" si="6"/>
        <v>0.5</v>
      </c>
      <c r="AD53" s="121">
        <f t="shared" si="6"/>
        <v>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5</v>
      </c>
      <c r="O54" s="214">
        <v>1</v>
      </c>
      <c r="P54" s="184"/>
      <c r="Q54" s="184">
        <v>0.5</v>
      </c>
      <c r="R54" s="184">
        <v>0.5</v>
      </c>
      <c r="S54" s="214">
        <v>1</v>
      </c>
      <c r="T54" s="184"/>
      <c r="U54" s="184">
        <v>0.5</v>
      </c>
      <c r="V54" s="184">
        <v>0.5</v>
      </c>
      <c r="W54" s="214">
        <v>1</v>
      </c>
      <c r="X54" s="207"/>
      <c r="Y54" s="207">
        <v>0.5</v>
      </c>
      <c r="Z54" s="207">
        <v>0.5</v>
      </c>
      <c r="AA54" s="237">
        <v>2</v>
      </c>
      <c r="AB54" s="207">
        <v>0.5</v>
      </c>
      <c r="AC54" s="207">
        <v>0.5</v>
      </c>
      <c r="AD54" s="207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191"/>
      <c r="Y55" s="191"/>
      <c r="Z55" s="191"/>
      <c r="AA55" s="239">
        <f>AA56+AA57</f>
        <v>0</v>
      </c>
      <c r="AB55" s="191"/>
      <c r="AC55" s="191"/>
      <c r="AD55" s="191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207"/>
      <c r="Y56" s="207"/>
      <c r="Z56" s="207"/>
      <c r="AA56" s="237"/>
      <c r="AB56" s="207"/>
      <c r="AC56" s="207"/>
      <c r="AD56" s="207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207"/>
      <c r="Y57" s="207"/>
      <c r="Z57" s="207"/>
      <c r="AA57" s="237"/>
      <c r="AB57" s="207"/>
      <c r="AC57" s="207"/>
      <c r="AD57" s="207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207"/>
      <c r="Y58" s="207"/>
      <c r="Z58" s="207"/>
      <c r="AA58" s="237"/>
      <c r="AB58" s="207"/>
      <c r="AC58" s="207"/>
      <c r="AD58" s="207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207"/>
      <c r="Y59" s="207"/>
      <c r="Z59" s="207"/>
      <c r="AA59" s="237"/>
      <c r="AB59" s="207"/>
      <c r="AC59" s="207"/>
      <c r="AD59" s="207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207"/>
      <c r="Y60" s="207"/>
      <c r="Z60" s="207"/>
      <c r="AA60" s="237"/>
      <c r="AB60" s="207"/>
      <c r="AC60" s="207"/>
      <c r="AD60" s="207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202"/>
      <c r="Y61" s="202"/>
      <c r="Z61" s="202"/>
      <c r="AA61" s="244">
        <f>AA62</f>
        <v>0</v>
      </c>
      <c r="AB61" s="202"/>
      <c r="AC61" s="202"/>
      <c r="AD61" s="202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207"/>
      <c r="Y62" s="207"/>
      <c r="Z62" s="207"/>
      <c r="AA62" s="237"/>
      <c r="AB62" s="207"/>
      <c r="AC62" s="207"/>
      <c r="AD62" s="207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207"/>
      <c r="Y63" s="207"/>
      <c r="Z63" s="207"/>
      <c r="AA63" s="237"/>
      <c r="AB63" s="207"/>
      <c r="AC63" s="207"/>
      <c r="AD63" s="207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207"/>
      <c r="Y64" s="207"/>
      <c r="Z64" s="207"/>
      <c r="AA64" s="237"/>
      <c r="AB64" s="207"/>
      <c r="AC64" s="207"/>
      <c r="AD64" s="207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207"/>
      <c r="Y65" s="207"/>
      <c r="Z65" s="207"/>
      <c r="AA65" s="237"/>
      <c r="AB65" s="207"/>
      <c r="AC65" s="207"/>
      <c r="AD65" s="207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02">
        <f>K68+K71+K72+K83+K90+K91</f>
        <v>1252</v>
      </c>
      <c r="L66" s="102">
        <f aca="true" t="shared" si="7" ref="L66:AD66">L68+L71+L72+L83+L90+L91</f>
        <v>1237</v>
      </c>
      <c r="M66" s="102">
        <f t="shared" si="7"/>
        <v>1237</v>
      </c>
      <c r="N66" s="102">
        <f t="shared" si="7"/>
        <v>1237</v>
      </c>
      <c r="O66" s="215">
        <f t="shared" si="7"/>
        <v>312</v>
      </c>
      <c r="P66" s="102">
        <f t="shared" si="7"/>
        <v>104</v>
      </c>
      <c r="Q66" s="102">
        <f t="shared" si="7"/>
        <v>104</v>
      </c>
      <c r="R66" s="102">
        <f t="shared" si="7"/>
        <v>104</v>
      </c>
      <c r="S66" s="215">
        <f t="shared" si="7"/>
        <v>313</v>
      </c>
      <c r="T66" s="102">
        <f t="shared" si="7"/>
        <v>104</v>
      </c>
      <c r="U66" s="102">
        <f t="shared" si="7"/>
        <v>104</v>
      </c>
      <c r="V66" s="102">
        <f t="shared" si="7"/>
        <v>105</v>
      </c>
      <c r="W66" s="215">
        <f t="shared" si="7"/>
        <v>314</v>
      </c>
      <c r="X66" s="102">
        <f t="shared" si="7"/>
        <v>104</v>
      </c>
      <c r="Y66" s="102">
        <f t="shared" si="7"/>
        <v>104</v>
      </c>
      <c r="Z66" s="102">
        <f t="shared" si="7"/>
        <v>106</v>
      </c>
      <c r="AA66" s="215">
        <f t="shared" si="7"/>
        <v>313</v>
      </c>
      <c r="AB66" s="102">
        <f t="shared" si="7"/>
        <v>104</v>
      </c>
      <c r="AC66" s="102">
        <f t="shared" si="7"/>
        <v>104</v>
      </c>
      <c r="AD66" s="102">
        <f t="shared" si="7"/>
        <v>105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207"/>
      <c r="Y67" s="207"/>
      <c r="Z67" s="207"/>
      <c r="AA67" s="237"/>
      <c r="AB67" s="207"/>
      <c r="AC67" s="207"/>
      <c r="AD67" s="207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1237</v>
      </c>
      <c r="L68" s="45">
        <f aca="true" t="shared" si="8" ref="L68:AD68">L69+L70+L71</f>
        <v>1237</v>
      </c>
      <c r="M68" s="45">
        <f t="shared" si="8"/>
        <v>1237</v>
      </c>
      <c r="N68" s="45">
        <f t="shared" si="8"/>
        <v>1237</v>
      </c>
      <c r="O68" s="216">
        <f t="shared" si="8"/>
        <v>309</v>
      </c>
      <c r="P68" s="45">
        <f t="shared" si="8"/>
        <v>103</v>
      </c>
      <c r="Q68" s="45">
        <f t="shared" si="8"/>
        <v>103</v>
      </c>
      <c r="R68" s="45">
        <f t="shared" si="8"/>
        <v>103</v>
      </c>
      <c r="S68" s="216">
        <f t="shared" si="8"/>
        <v>309</v>
      </c>
      <c r="T68" s="45">
        <f t="shared" si="8"/>
        <v>103</v>
      </c>
      <c r="U68" s="45">
        <f t="shared" si="8"/>
        <v>103</v>
      </c>
      <c r="V68" s="45">
        <f t="shared" si="8"/>
        <v>103</v>
      </c>
      <c r="W68" s="216">
        <f t="shared" si="8"/>
        <v>310</v>
      </c>
      <c r="X68" s="45">
        <f t="shared" si="8"/>
        <v>103</v>
      </c>
      <c r="Y68" s="45">
        <f t="shared" si="8"/>
        <v>103</v>
      </c>
      <c r="Z68" s="45">
        <f t="shared" si="8"/>
        <v>104</v>
      </c>
      <c r="AA68" s="216">
        <f t="shared" si="8"/>
        <v>309</v>
      </c>
      <c r="AB68" s="45">
        <f t="shared" si="8"/>
        <v>103</v>
      </c>
      <c r="AC68" s="45">
        <f t="shared" si="8"/>
        <v>103</v>
      </c>
      <c r="AD68" s="45">
        <f t="shared" si="8"/>
        <v>103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1237</v>
      </c>
      <c r="L69" s="144">
        <v>1237</v>
      </c>
      <c r="M69" s="144">
        <v>1237</v>
      </c>
      <c r="N69" s="144">
        <v>1237</v>
      </c>
      <c r="O69" s="223">
        <v>309</v>
      </c>
      <c r="P69" s="144">
        <v>103</v>
      </c>
      <c r="Q69" s="144">
        <v>103</v>
      </c>
      <c r="R69" s="144">
        <v>103</v>
      </c>
      <c r="S69" s="223">
        <v>309</v>
      </c>
      <c r="T69" s="144">
        <v>103</v>
      </c>
      <c r="U69" s="144">
        <v>103</v>
      </c>
      <c r="V69" s="144">
        <v>103</v>
      </c>
      <c r="W69" s="223">
        <v>310</v>
      </c>
      <c r="X69" s="200">
        <v>103</v>
      </c>
      <c r="Y69" s="200">
        <v>103</v>
      </c>
      <c r="Z69" s="200">
        <v>104</v>
      </c>
      <c r="AA69" s="243">
        <v>309</v>
      </c>
      <c r="AB69" s="200">
        <v>103</v>
      </c>
      <c r="AC69" s="200">
        <v>103</v>
      </c>
      <c r="AD69" s="200">
        <v>103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207"/>
      <c r="Y70" s="207"/>
      <c r="Z70" s="207"/>
      <c r="AA70" s="237"/>
      <c r="AB70" s="207"/>
      <c r="AC70" s="207"/>
      <c r="AD70" s="207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207"/>
      <c r="Y71" s="207"/>
      <c r="Z71" s="207"/>
      <c r="AA71" s="237"/>
      <c r="AB71" s="207"/>
      <c r="AC71" s="207"/>
      <c r="AD71" s="207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189"/>
      <c r="Y72" s="189"/>
      <c r="Z72" s="189"/>
      <c r="AA72" s="245">
        <f>AA73+AA74+AA75+AA76+AA77+AA78+AA79+AA80+AA81</f>
        <v>0</v>
      </c>
      <c r="AB72" s="189"/>
      <c r="AC72" s="189"/>
      <c r="AD72" s="189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207"/>
      <c r="Y73" s="207"/>
      <c r="Z73" s="207"/>
      <c r="AA73" s="237"/>
      <c r="AB73" s="207"/>
      <c r="AC73" s="207"/>
      <c r="AD73" s="207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207"/>
      <c r="Y74" s="207"/>
      <c r="Z74" s="207"/>
      <c r="AA74" s="237"/>
      <c r="AB74" s="207"/>
      <c r="AC74" s="207"/>
      <c r="AD74" s="207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207"/>
      <c r="Y75" s="207"/>
      <c r="Z75" s="207"/>
      <c r="AA75" s="237"/>
      <c r="AB75" s="207"/>
      <c r="AC75" s="207"/>
      <c r="AD75" s="207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207"/>
      <c r="Y76" s="207"/>
      <c r="Z76" s="207"/>
      <c r="AA76" s="237"/>
      <c r="AB76" s="207"/>
      <c r="AC76" s="207"/>
      <c r="AD76" s="207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207"/>
      <c r="Y77" s="207"/>
      <c r="Z77" s="207"/>
      <c r="AA77" s="237"/>
      <c r="AB77" s="207"/>
      <c r="AC77" s="207"/>
      <c r="AD77" s="207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207"/>
      <c r="Y78" s="207"/>
      <c r="Z78" s="207"/>
      <c r="AA78" s="237"/>
      <c r="AB78" s="207"/>
      <c r="AC78" s="207"/>
      <c r="AD78" s="207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207"/>
      <c r="Y79" s="207"/>
      <c r="Z79" s="207"/>
      <c r="AA79" s="237"/>
      <c r="AB79" s="207"/>
      <c r="AC79" s="207"/>
      <c r="AD79" s="207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207"/>
      <c r="Y80" s="207"/>
      <c r="Z80" s="207"/>
      <c r="AA80" s="237"/>
      <c r="AB80" s="207"/>
      <c r="AC80" s="207"/>
      <c r="AD80" s="207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207"/>
      <c r="Y81" s="207"/>
      <c r="Z81" s="207"/>
      <c r="AA81" s="237"/>
      <c r="AB81" s="207"/>
      <c r="AC81" s="207"/>
      <c r="AD81" s="207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207"/>
      <c r="Y82" s="207"/>
      <c r="Z82" s="207"/>
      <c r="AA82" s="237"/>
      <c r="AB82" s="207"/>
      <c r="AC82" s="207"/>
      <c r="AD82" s="207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189"/>
      <c r="Y83" s="189"/>
      <c r="Z83" s="189"/>
      <c r="AA83" s="245">
        <f>AA85+AA86+AA87+AA88+AA89</f>
        <v>0</v>
      </c>
      <c r="AB83" s="189"/>
      <c r="AC83" s="189"/>
      <c r="AD83" s="189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207"/>
      <c r="Y85" s="207"/>
      <c r="Z85" s="207"/>
      <c r="AA85" s="237"/>
      <c r="AB85" s="207"/>
      <c r="AC85" s="207"/>
      <c r="AD85" s="207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207"/>
      <c r="Y86" s="207"/>
      <c r="Z86" s="207"/>
      <c r="AA86" s="237"/>
      <c r="AB86" s="207"/>
      <c r="AC86" s="207"/>
      <c r="AD86" s="207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207"/>
      <c r="Y87" s="207"/>
      <c r="Z87" s="207"/>
      <c r="AA87" s="237"/>
      <c r="AB87" s="207"/>
      <c r="AC87" s="207"/>
      <c r="AD87" s="207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207"/>
      <c r="Y88" s="207"/>
      <c r="Z88" s="207"/>
      <c r="AA88" s="237"/>
      <c r="AB88" s="207"/>
      <c r="AC88" s="207"/>
      <c r="AD88" s="207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207"/>
      <c r="Y89" s="207"/>
      <c r="Z89" s="207"/>
      <c r="AA89" s="237"/>
      <c r="AB89" s="207"/>
      <c r="AC89" s="207"/>
      <c r="AD89" s="207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15</v>
      </c>
      <c r="O90" s="214">
        <v>3</v>
      </c>
      <c r="P90" s="184">
        <v>1</v>
      </c>
      <c r="Q90" s="184">
        <v>1</v>
      </c>
      <c r="R90" s="184">
        <v>1</v>
      </c>
      <c r="S90" s="214">
        <v>4</v>
      </c>
      <c r="T90" s="184">
        <v>1</v>
      </c>
      <c r="U90" s="184">
        <v>1</v>
      </c>
      <c r="V90" s="184">
        <v>2</v>
      </c>
      <c r="W90" s="214">
        <v>4</v>
      </c>
      <c r="X90" s="207">
        <v>1</v>
      </c>
      <c r="Y90" s="207">
        <v>1</v>
      </c>
      <c r="Z90" s="207">
        <v>2</v>
      </c>
      <c r="AA90" s="237">
        <v>4</v>
      </c>
      <c r="AB90" s="207">
        <v>1</v>
      </c>
      <c r="AC90" s="207">
        <v>1</v>
      </c>
      <c r="AD90" s="20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207"/>
      <c r="Y91" s="207"/>
      <c r="Z91" s="207"/>
      <c r="AA91" s="237"/>
      <c r="AB91" s="207"/>
      <c r="AC91" s="207"/>
      <c r="AD91" s="207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50</v>
      </c>
      <c r="L92" s="43">
        <f aca="true" t="shared" si="9" ref="L92:AD92">L93+L95</f>
        <v>0</v>
      </c>
      <c r="M92" s="43">
        <f t="shared" si="9"/>
        <v>0</v>
      </c>
      <c r="N92" s="43">
        <f t="shared" si="9"/>
        <v>0</v>
      </c>
      <c r="O92" s="219">
        <f t="shared" si="9"/>
        <v>2</v>
      </c>
      <c r="P92" s="43">
        <f t="shared" si="9"/>
        <v>1</v>
      </c>
      <c r="Q92" s="43">
        <f t="shared" si="9"/>
        <v>0.5</v>
      </c>
      <c r="R92" s="43">
        <f t="shared" si="9"/>
        <v>0.5</v>
      </c>
      <c r="S92" s="219">
        <f t="shared" si="9"/>
        <v>4</v>
      </c>
      <c r="T92" s="43">
        <f t="shared" si="9"/>
        <v>1</v>
      </c>
      <c r="U92" s="43">
        <f t="shared" si="9"/>
        <v>1.5</v>
      </c>
      <c r="V92" s="43">
        <f t="shared" si="9"/>
        <v>1.5</v>
      </c>
      <c r="W92" s="219">
        <f t="shared" si="9"/>
        <v>39</v>
      </c>
      <c r="X92" s="43">
        <f t="shared" si="9"/>
        <v>13</v>
      </c>
      <c r="Y92" s="43">
        <f t="shared" si="9"/>
        <v>4</v>
      </c>
      <c r="Z92" s="43">
        <f t="shared" si="9"/>
        <v>22</v>
      </c>
      <c r="AA92" s="219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12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2</v>
      </c>
      <c r="P93" s="108">
        <f t="shared" si="10"/>
        <v>1</v>
      </c>
      <c r="Q93" s="108">
        <f t="shared" si="10"/>
        <v>0.5</v>
      </c>
      <c r="R93" s="108">
        <f t="shared" si="10"/>
        <v>0.5</v>
      </c>
      <c r="S93" s="225">
        <f t="shared" si="10"/>
        <v>3</v>
      </c>
      <c r="T93" s="108">
        <f t="shared" si="10"/>
        <v>1</v>
      </c>
      <c r="U93" s="108">
        <f t="shared" si="10"/>
        <v>1</v>
      </c>
      <c r="V93" s="108">
        <f t="shared" si="10"/>
        <v>1</v>
      </c>
      <c r="W93" s="225">
        <f t="shared" si="10"/>
        <v>4</v>
      </c>
      <c r="X93" s="108">
        <f t="shared" si="10"/>
        <v>1</v>
      </c>
      <c r="Y93" s="108">
        <f t="shared" si="10"/>
        <v>2.5</v>
      </c>
      <c r="Z93" s="108">
        <f t="shared" si="10"/>
        <v>0.5</v>
      </c>
      <c r="AA93" s="225">
        <f t="shared" si="10"/>
        <v>3</v>
      </c>
      <c r="AB93" s="108">
        <f t="shared" si="10"/>
        <v>1</v>
      </c>
      <c r="AC93" s="108">
        <f t="shared" si="10"/>
        <v>1</v>
      </c>
      <c r="AD93" s="108">
        <f t="shared" si="10"/>
        <v>1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12</v>
      </c>
      <c r="O94" s="214">
        <f>10/5</f>
        <v>2</v>
      </c>
      <c r="P94" s="184">
        <v>1</v>
      </c>
      <c r="Q94" s="184">
        <v>0.5</v>
      </c>
      <c r="R94" s="184">
        <v>0.5</v>
      </c>
      <c r="S94" s="214">
        <v>3</v>
      </c>
      <c r="T94" s="184">
        <v>1</v>
      </c>
      <c r="U94" s="184">
        <v>1</v>
      </c>
      <c r="V94" s="184">
        <v>1</v>
      </c>
      <c r="W94" s="214">
        <v>4</v>
      </c>
      <c r="X94" s="207">
        <v>1</v>
      </c>
      <c r="Y94" s="207">
        <v>2.5</v>
      </c>
      <c r="Z94" s="207">
        <v>0.5</v>
      </c>
      <c r="AA94" s="237">
        <v>3</v>
      </c>
      <c r="AB94" s="207">
        <v>1</v>
      </c>
      <c r="AC94" s="207">
        <v>1</v>
      </c>
      <c r="AD94" s="207">
        <v>1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38</v>
      </c>
      <c r="L95" s="108">
        <f aca="true" t="shared" si="11" ref="L95:AD95">L96</f>
        <v>0</v>
      </c>
      <c r="M95" s="108">
        <f t="shared" si="11"/>
        <v>0</v>
      </c>
      <c r="N95" s="108">
        <f t="shared" si="11"/>
        <v>0</v>
      </c>
      <c r="O95" s="225">
        <f t="shared" si="11"/>
        <v>0</v>
      </c>
      <c r="P95" s="108">
        <f t="shared" si="11"/>
        <v>0</v>
      </c>
      <c r="Q95" s="108">
        <f t="shared" si="11"/>
        <v>0</v>
      </c>
      <c r="R95" s="108">
        <f t="shared" si="11"/>
        <v>0</v>
      </c>
      <c r="S95" s="225">
        <f t="shared" si="11"/>
        <v>1</v>
      </c>
      <c r="T95" s="108">
        <f t="shared" si="11"/>
        <v>0</v>
      </c>
      <c r="U95" s="108">
        <f t="shared" si="11"/>
        <v>0.5</v>
      </c>
      <c r="V95" s="108">
        <f t="shared" si="11"/>
        <v>0.5</v>
      </c>
      <c r="W95" s="225">
        <f t="shared" si="11"/>
        <v>35</v>
      </c>
      <c r="X95" s="108">
        <f t="shared" si="11"/>
        <v>12</v>
      </c>
      <c r="Y95" s="108">
        <f t="shared" si="11"/>
        <v>1.5</v>
      </c>
      <c r="Z95" s="108">
        <f t="shared" si="11"/>
        <v>21.5</v>
      </c>
      <c r="AA95" s="225">
        <f t="shared" si="11"/>
        <v>2</v>
      </c>
      <c r="AB95" s="108">
        <f t="shared" si="11"/>
        <v>0</v>
      </c>
      <c r="AC95" s="108">
        <f t="shared" si="11"/>
        <v>1</v>
      </c>
      <c r="AD95" s="108">
        <f t="shared" si="11"/>
        <v>1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f>6+12+20</f>
        <v>38</v>
      </c>
      <c r="O96" s="214"/>
      <c r="P96" s="184"/>
      <c r="Q96" s="184"/>
      <c r="R96" s="184"/>
      <c r="S96" s="214">
        <v>1</v>
      </c>
      <c r="T96" s="184"/>
      <c r="U96" s="184">
        <v>0.5</v>
      </c>
      <c r="V96" s="184">
        <v>0.5</v>
      </c>
      <c r="W96" s="214">
        <f>3+12+20</f>
        <v>35</v>
      </c>
      <c r="X96" s="207">
        <v>12</v>
      </c>
      <c r="Y96" s="207">
        <v>1.5</v>
      </c>
      <c r="Z96" s="207">
        <f>1.5+20</f>
        <v>21.5</v>
      </c>
      <c r="AA96" s="237">
        <v>2</v>
      </c>
      <c r="AB96" s="207"/>
      <c r="AC96" s="207">
        <v>1</v>
      </c>
      <c r="AD96" s="207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2491</v>
      </c>
      <c r="L97" s="51">
        <f aca="true" t="shared" si="12" ref="L97:AD97">L23+L66+L92</f>
        <v>1237</v>
      </c>
      <c r="M97" s="51">
        <f t="shared" si="12"/>
        <v>1237</v>
      </c>
      <c r="N97" s="51">
        <f t="shared" si="12"/>
        <v>1237</v>
      </c>
      <c r="O97" s="226">
        <f>O23+O66+O92</f>
        <v>589</v>
      </c>
      <c r="P97" s="51">
        <f>P23+P66+P92</f>
        <v>160</v>
      </c>
      <c r="Q97" s="51">
        <f t="shared" si="12"/>
        <v>214</v>
      </c>
      <c r="R97" s="51">
        <f t="shared" si="12"/>
        <v>215</v>
      </c>
      <c r="S97" s="226">
        <f t="shared" si="12"/>
        <v>623</v>
      </c>
      <c r="T97" s="51">
        <f t="shared" si="12"/>
        <v>227</v>
      </c>
      <c r="U97" s="51">
        <f t="shared" si="12"/>
        <v>197</v>
      </c>
      <c r="V97" s="51">
        <f t="shared" si="12"/>
        <v>199</v>
      </c>
      <c r="W97" s="226">
        <f t="shared" si="12"/>
        <v>653</v>
      </c>
      <c r="X97" s="51">
        <f t="shared" si="12"/>
        <v>208</v>
      </c>
      <c r="Y97" s="51">
        <f t="shared" si="12"/>
        <v>201.5</v>
      </c>
      <c r="Z97" s="51">
        <f t="shared" si="12"/>
        <v>243.5</v>
      </c>
      <c r="AA97" s="226">
        <f t="shared" si="12"/>
        <v>626</v>
      </c>
      <c r="AB97" s="51">
        <f t="shared" si="12"/>
        <v>200.5</v>
      </c>
      <c r="AC97" s="51">
        <f t="shared" si="12"/>
        <v>202.5</v>
      </c>
      <c r="AD97" s="51">
        <f t="shared" si="12"/>
        <v>223</v>
      </c>
    </row>
    <row r="98" spans="15:27" ht="12.75">
      <c r="O98" s="210">
        <f>SUM(P97:R97)</f>
        <v>589</v>
      </c>
      <c r="S98" s="210">
        <f>SUM(T97:V97)</f>
        <v>623</v>
      </c>
      <c r="W98" s="210">
        <f>SUM(X97:Z97)</f>
        <v>653</v>
      </c>
      <c r="AA98" s="210">
        <f>SUM(AB97:AD97)</f>
        <v>626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77">
      <pane xSplit="6390" topLeftCell="I2" activePane="topRight" state="split"/>
      <selection pane="topLeft" activeCell="B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146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611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5">
        <f t="shared" si="0"/>
        <v>140</v>
      </c>
      <c r="P23" s="102">
        <f t="shared" si="0"/>
        <v>27</v>
      </c>
      <c r="Q23" s="102">
        <f t="shared" si="0"/>
        <v>56.5</v>
      </c>
      <c r="R23" s="102">
        <f t="shared" si="0"/>
        <v>56.5</v>
      </c>
      <c r="S23" s="215">
        <f t="shared" si="0"/>
        <v>141</v>
      </c>
      <c r="T23" s="102">
        <f t="shared" si="0"/>
        <v>28</v>
      </c>
      <c r="U23" s="102">
        <f t="shared" si="0"/>
        <v>56.5</v>
      </c>
      <c r="V23" s="102">
        <f t="shared" si="0"/>
        <v>56.5</v>
      </c>
      <c r="W23" s="215">
        <f t="shared" si="0"/>
        <v>162</v>
      </c>
      <c r="X23" s="102">
        <f t="shared" si="0"/>
        <v>27</v>
      </c>
      <c r="Y23" s="102">
        <f t="shared" si="0"/>
        <v>57</v>
      </c>
      <c r="Z23" s="102">
        <f t="shared" si="0"/>
        <v>78</v>
      </c>
      <c r="AA23" s="215">
        <f t="shared" si="0"/>
        <v>168</v>
      </c>
      <c r="AB23" s="102">
        <f t="shared" si="0"/>
        <v>29</v>
      </c>
      <c r="AC23" s="102">
        <f t="shared" si="0"/>
        <v>80.5</v>
      </c>
      <c r="AD23" s="102">
        <f t="shared" si="0"/>
        <v>58.5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484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6">
        <f t="shared" si="1"/>
        <v>121</v>
      </c>
      <c r="P24" s="45">
        <f t="shared" si="1"/>
        <v>21</v>
      </c>
      <c r="Q24" s="45">
        <f t="shared" si="1"/>
        <v>50</v>
      </c>
      <c r="R24" s="45">
        <f t="shared" si="1"/>
        <v>50</v>
      </c>
      <c r="S24" s="216">
        <f t="shared" si="1"/>
        <v>121</v>
      </c>
      <c r="T24" s="45">
        <f t="shared" si="1"/>
        <v>21</v>
      </c>
      <c r="U24" s="45">
        <f t="shared" si="1"/>
        <v>50</v>
      </c>
      <c r="V24" s="45">
        <f t="shared" si="1"/>
        <v>50</v>
      </c>
      <c r="W24" s="216">
        <f t="shared" si="1"/>
        <v>121</v>
      </c>
      <c r="X24" s="45">
        <f t="shared" si="1"/>
        <v>21</v>
      </c>
      <c r="Y24" s="45">
        <f t="shared" si="1"/>
        <v>50</v>
      </c>
      <c r="Z24" s="45">
        <f t="shared" si="1"/>
        <v>50</v>
      </c>
      <c r="AA24" s="216">
        <f t="shared" si="1"/>
        <v>121</v>
      </c>
      <c r="AB24" s="45">
        <f t="shared" si="1"/>
        <v>21</v>
      </c>
      <c r="AC24" s="45">
        <f t="shared" si="1"/>
        <v>50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484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6">
        <f t="shared" si="2"/>
        <v>121</v>
      </c>
      <c r="P25" s="45">
        <f t="shared" si="2"/>
        <v>21</v>
      </c>
      <c r="Q25" s="45">
        <f t="shared" si="2"/>
        <v>50</v>
      </c>
      <c r="R25" s="45">
        <f t="shared" si="2"/>
        <v>50</v>
      </c>
      <c r="S25" s="216">
        <f t="shared" si="2"/>
        <v>121</v>
      </c>
      <c r="T25" s="45">
        <f t="shared" si="2"/>
        <v>21</v>
      </c>
      <c r="U25" s="45">
        <f t="shared" si="2"/>
        <v>50</v>
      </c>
      <c r="V25" s="45">
        <f t="shared" si="2"/>
        <v>50</v>
      </c>
      <c r="W25" s="216">
        <f t="shared" si="2"/>
        <v>121</v>
      </c>
      <c r="X25" s="45">
        <f t="shared" si="2"/>
        <v>21</v>
      </c>
      <c r="Y25" s="45">
        <f t="shared" si="2"/>
        <v>50</v>
      </c>
      <c r="Z25" s="45">
        <f t="shared" si="2"/>
        <v>50</v>
      </c>
      <c r="AA25" s="216">
        <f t="shared" si="2"/>
        <v>121</v>
      </c>
      <c r="AB25" s="45">
        <f t="shared" si="2"/>
        <v>21</v>
      </c>
      <c r="AC25" s="45">
        <f t="shared" si="2"/>
        <v>50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484</v>
      </c>
      <c r="O27" s="214">
        <f>484/4</f>
        <v>121</v>
      </c>
      <c r="P27" s="184">
        <v>21</v>
      </c>
      <c r="Q27" s="184">
        <v>50</v>
      </c>
      <c r="R27" s="184">
        <v>50</v>
      </c>
      <c r="S27" s="214">
        <v>121</v>
      </c>
      <c r="T27" s="184">
        <v>21</v>
      </c>
      <c r="U27" s="184">
        <v>50</v>
      </c>
      <c r="V27" s="184">
        <v>50</v>
      </c>
      <c r="W27" s="214">
        <v>121</v>
      </c>
      <c r="X27" s="184">
        <v>21</v>
      </c>
      <c r="Y27" s="184">
        <v>50</v>
      </c>
      <c r="Z27" s="184">
        <v>50</v>
      </c>
      <c r="AA27" s="214">
        <v>121</v>
      </c>
      <c r="AB27" s="184">
        <v>21</v>
      </c>
      <c r="AC27" s="184">
        <v>50</v>
      </c>
      <c r="AD27" s="184">
        <v>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484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121</v>
      </c>
      <c r="P28" s="47">
        <v>21</v>
      </c>
      <c r="Q28" s="47">
        <v>50</v>
      </c>
      <c r="R28" s="47">
        <v>50</v>
      </c>
      <c r="S28" s="217">
        <f>S27</f>
        <v>121</v>
      </c>
      <c r="T28" s="47">
        <v>21</v>
      </c>
      <c r="U28" s="47">
        <v>50</v>
      </c>
      <c r="V28" s="47">
        <v>50</v>
      </c>
      <c r="W28" s="217">
        <f>W27</f>
        <v>121</v>
      </c>
      <c r="X28" s="47">
        <v>21</v>
      </c>
      <c r="Y28" s="47">
        <v>50</v>
      </c>
      <c r="Z28" s="47">
        <v>50</v>
      </c>
      <c r="AA28" s="217">
        <f>AA27</f>
        <v>121</v>
      </c>
      <c r="AB28" s="47">
        <v>21</v>
      </c>
      <c r="AC28" s="47">
        <v>50</v>
      </c>
      <c r="AD28" s="47">
        <v>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46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19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22</v>
      </c>
      <c r="X34" s="43">
        <f t="shared" si="3"/>
        <v>0</v>
      </c>
      <c r="Y34" s="43">
        <f t="shared" si="3"/>
        <v>1</v>
      </c>
      <c r="Z34" s="43">
        <f t="shared" si="3"/>
        <v>21</v>
      </c>
      <c r="AA34" s="219">
        <f t="shared" si="3"/>
        <v>24</v>
      </c>
      <c r="AB34" s="43">
        <f t="shared" si="3"/>
        <v>0.5</v>
      </c>
      <c r="AC34" s="43">
        <f t="shared" si="3"/>
        <v>23</v>
      </c>
      <c r="AD34" s="43">
        <f t="shared" si="3"/>
        <v>0.5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6</v>
      </c>
      <c r="O35" s="214"/>
      <c r="P35" s="184"/>
      <c r="Q35" s="184"/>
      <c r="R35" s="184"/>
      <c r="S35" s="214"/>
      <c r="T35" s="184"/>
      <c r="U35" s="184"/>
      <c r="V35" s="184"/>
      <c r="W35" s="214">
        <f>6/3</f>
        <v>2</v>
      </c>
      <c r="X35" s="184"/>
      <c r="Y35" s="184">
        <v>1</v>
      </c>
      <c r="Z35" s="184">
        <v>1</v>
      </c>
      <c r="AA35" s="214">
        <v>4</v>
      </c>
      <c r="AB35" s="184">
        <v>0.5</v>
      </c>
      <c r="AC35" s="184">
        <v>3</v>
      </c>
      <c r="AD35" s="184">
        <v>0.5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40</v>
      </c>
      <c r="O37" s="214"/>
      <c r="P37" s="184"/>
      <c r="Q37" s="184"/>
      <c r="R37" s="184"/>
      <c r="S37" s="214"/>
      <c r="T37" s="184"/>
      <c r="U37" s="184"/>
      <c r="V37" s="184"/>
      <c r="W37" s="214">
        <v>20</v>
      </c>
      <c r="X37" s="184"/>
      <c r="Y37" s="184"/>
      <c r="Z37" s="184">
        <v>20</v>
      </c>
      <c r="AA37" s="214">
        <v>20</v>
      </c>
      <c r="AB37" s="184"/>
      <c r="AC37" s="184">
        <v>20</v>
      </c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81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19</v>
      </c>
      <c r="P47" s="43">
        <f t="shared" si="4"/>
        <v>6</v>
      </c>
      <c r="Q47" s="43">
        <f t="shared" si="4"/>
        <v>6.5</v>
      </c>
      <c r="R47" s="43">
        <f t="shared" si="4"/>
        <v>6.5</v>
      </c>
      <c r="S47" s="219">
        <f t="shared" si="4"/>
        <v>20</v>
      </c>
      <c r="T47" s="43">
        <f t="shared" si="4"/>
        <v>7</v>
      </c>
      <c r="U47" s="43">
        <f t="shared" si="4"/>
        <v>6.5</v>
      </c>
      <c r="V47" s="43">
        <f t="shared" si="4"/>
        <v>6.5</v>
      </c>
      <c r="W47" s="219">
        <f t="shared" si="4"/>
        <v>19</v>
      </c>
      <c r="X47" s="43">
        <f t="shared" si="4"/>
        <v>6</v>
      </c>
      <c r="Y47" s="43">
        <f t="shared" si="4"/>
        <v>6</v>
      </c>
      <c r="Z47" s="43">
        <f t="shared" si="4"/>
        <v>7</v>
      </c>
      <c r="AA47" s="219">
        <f t="shared" si="4"/>
        <v>23</v>
      </c>
      <c r="AB47" s="43">
        <f t="shared" si="4"/>
        <v>7.5</v>
      </c>
      <c r="AC47" s="43">
        <f t="shared" si="4"/>
        <v>7.5</v>
      </c>
      <c r="AD47" s="43">
        <f t="shared" si="4"/>
        <v>8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63</v>
      </c>
      <c r="L49" s="121">
        <f aca="true" t="shared" si="5" ref="L49:AD49">L50</f>
        <v>0</v>
      </c>
      <c r="M49" s="121">
        <f t="shared" si="5"/>
        <v>0</v>
      </c>
      <c r="N49" s="121">
        <f t="shared" si="5"/>
        <v>0</v>
      </c>
      <c r="O49" s="222">
        <f t="shared" si="5"/>
        <v>15</v>
      </c>
      <c r="P49" s="121">
        <f t="shared" si="5"/>
        <v>5</v>
      </c>
      <c r="Q49" s="121">
        <f t="shared" si="5"/>
        <v>5</v>
      </c>
      <c r="R49" s="121">
        <f t="shared" si="5"/>
        <v>5</v>
      </c>
      <c r="S49" s="222">
        <f t="shared" si="5"/>
        <v>15</v>
      </c>
      <c r="T49" s="121">
        <f t="shared" si="5"/>
        <v>5</v>
      </c>
      <c r="U49" s="121">
        <f t="shared" si="5"/>
        <v>5</v>
      </c>
      <c r="V49" s="121">
        <f t="shared" si="5"/>
        <v>5</v>
      </c>
      <c r="W49" s="222">
        <f t="shared" si="5"/>
        <v>15</v>
      </c>
      <c r="X49" s="121">
        <f t="shared" si="5"/>
        <v>5</v>
      </c>
      <c r="Y49" s="121">
        <f t="shared" si="5"/>
        <v>5</v>
      </c>
      <c r="Z49" s="121">
        <f t="shared" si="5"/>
        <v>5</v>
      </c>
      <c r="AA49" s="222">
        <f t="shared" si="5"/>
        <v>18</v>
      </c>
      <c r="AB49" s="121">
        <f t="shared" si="5"/>
        <v>6</v>
      </c>
      <c r="AC49" s="121">
        <f t="shared" si="5"/>
        <v>6</v>
      </c>
      <c r="AD49" s="121">
        <f t="shared" si="5"/>
        <v>6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63</v>
      </c>
      <c r="O50" s="214">
        <v>15</v>
      </c>
      <c r="P50" s="184">
        <v>5</v>
      </c>
      <c r="Q50" s="184">
        <v>5</v>
      </c>
      <c r="R50" s="184">
        <v>5</v>
      </c>
      <c r="S50" s="214">
        <v>15</v>
      </c>
      <c r="T50" s="184">
        <v>5</v>
      </c>
      <c r="U50" s="184">
        <v>5</v>
      </c>
      <c r="V50" s="184">
        <v>5</v>
      </c>
      <c r="W50" s="214">
        <v>15</v>
      </c>
      <c r="X50" s="184">
        <v>5</v>
      </c>
      <c r="Y50" s="184">
        <v>5</v>
      </c>
      <c r="Z50" s="184">
        <v>5</v>
      </c>
      <c r="AA50" s="214">
        <f>63-15-15-15</f>
        <v>18</v>
      </c>
      <c r="AB50" s="184">
        <v>6</v>
      </c>
      <c r="AC50" s="184">
        <v>6</v>
      </c>
      <c r="AD50" s="184">
        <v>6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18</v>
      </c>
      <c r="L53" s="121">
        <f aca="true" t="shared" si="6" ref="L53:AD53">L54</f>
        <v>0</v>
      </c>
      <c r="M53" s="121">
        <f t="shared" si="6"/>
        <v>0</v>
      </c>
      <c r="N53" s="121">
        <f t="shared" si="6"/>
        <v>0</v>
      </c>
      <c r="O53" s="222">
        <f t="shared" si="6"/>
        <v>4</v>
      </c>
      <c r="P53" s="121">
        <f t="shared" si="6"/>
        <v>1</v>
      </c>
      <c r="Q53" s="121">
        <f t="shared" si="6"/>
        <v>1.5</v>
      </c>
      <c r="R53" s="121">
        <f t="shared" si="6"/>
        <v>1.5</v>
      </c>
      <c r="S53" s="222">
        <f t="shared" si="6"/>
        <v>5</v>
      </c>
      <c r="T53" s="121">
        <f t="shared" si="6"/>
        <v>2</v>
      </c>
      <c r="U53" s="121">
        <f t="shared" si="6"/>
        <v>1.5</v>
      </c>
      <c r="V53" s="121">
        <f t="shared" si="6"/>
        <v>1.5</v>
      </c>
      <c r="W53" s="222">
        <f t="shared" si="6"/>
        <v>4</v>
      </c>
      <c r="X53" s="121">
        <f t="shared" si="6"/>
        <v>1</v>
      </c>
      <c r="Y53" s="121">
        <f t="shared" si="6"/>
        <v>1</v>
      </c>
      <c r="Z53" s="121">
        <f t="shared" si="6"/>
        <v>2</v>
      </c>
      <c r="AA53" s="222">
        <f t="shared" si="6"/>
        <v>5</v>
      </c>
      <c r="AB53" s="121">
        <f t="shared" si="6"/>
        <v>1.5</v>
      </c>
      <c r="AC53" s="121">
        <f t="shared" si="6"/>
        <v>1.5</v>
      </c>
      <c r="AD53" s="121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18</v>
      </c>
      <c r="O54" s="214">
        <v>4</v>
      </c>
      <c r="P54" s="184">
        <v>1</v>
      </c>
      <c r="Q54" s="184">
        <v>1.5</v>
      </c>
      <c r="R54" s="184">
        <v>1.5</v>
      </c>
      <c r="S54" s="214">
        <v>5</v>
      </c>
      <c r="T54" s="184">
        <v>2</v>
      </c>
      <c r="U54" s="184">
        <v>1.5</v>
      </c>
      <c r="V54" s="184">
        <v>1.5</v>
      </c>
      <c r="W54" s="214">
        <v>4</v>
      </c>
      <c r="X54" s="184">
        <v>1</v>
      </c>
      <c r="Y54" s="184">
        <v>1</v>
      </c>
      <c r="Z54" s="184">
        <v>2</v>
      </c>
      <c r="AA54" s="214">
        <v>5</v>
      </c>
      <c r="AB54" s="184">
        <v>1.5</v>
      </c>
      <c r="AC54" s="184">
        <v>1.5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K62+K63</f>
        <v>0</v>
      </c>
      <c r="L61" s="68">
        <f>L62+L63</f>
        <v>0</v>
      </c>
      <c r="M61" s="68">
        <f>M62+M63</f>
        <v>0</v>
      </c>
      <c r="N61" s="68">
        <f>N62+N63</f>
        <v>0</v>
      </c>
      <c r="O61" s="224">
        <f>O62+O63</f>
        <v>0</v>
      </c>
      <c r="P61" s="68"/>
      <c r="Q61" s="68"/>
      <c r="R61" s="68"/>
      <c r="S61" s="224">
        <f>S62+S63</f>
        <v>0</v>
      </c>
      <c r="T61" s="68"/>
      <c r="U61" s="68"/>
      <c r="V61" s="68"/>
      <c r="W61" s="224">
        <f>W62+W63</f>
        <v>0</v>
      </c>
      <c r="X61" s="68"/>
      <c r="Y61" s="68"/>
      <c r="Z61" s="68"/>
      <c r="AA61" s="224">
        <f>AA62+AA63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673</v>
      </c>
      <c r="L66" s="43">
        <f aca="true" t="shared" si="7" ref="L66:AD66">L68+L71+L72+L83+L90+L91</f>
        <v>0</v>
      </c>
      <c r="M66" s="43">
        <f t="shared" si="7"/>
        <v>0</v>
      </c>
      <c r="N66" s="43">
        <f t="shared" si="7"/>
        <v>0</v>
      </c>
      <c r="O66" s="219">
        <f t="shared" si="7"/>
        <v>167</v>
      </c>
      <c r="P66" s="43">
        <f t="shared" si="7"/>
        <v>56</v>
      </c>
      <c r="Q66" s="43">
        <f t="shared" si="7"/>
        <v>55.5</v>
      </c>
      <c r="R66" s="43">
        <f t="shared" si="7"/>
        <v>55.5</v>
      </c>
      <c r="S66" s="219">
        <f t="shared" si="7"/>
        <v>168</v>
      </c>
      <c r="T66" s="43">
        <f t="shared" si="7"/>
        <v>56</v>
      </c>
      <c r="U66" s="43">
        <f t="shared" si="7"/>
        <v>56</v>
      </c>
      <c r="V66" s="43">
        <f t="shared" si="7"/>
        <v>56</v>
      </c>
      <c r="W66" s="219">
        <f t="shared" si="7"/>
        <v>170</v>
      </c>
      <c r="X66" s="43">
        <f t="shared" si="7"/>
        <v>57</v>
      </c>
      <c r="Y66" s="43">
        <f t="shared" si="7"/>
        <v>56.5</v>
      </c>
      <c r="Z66" s="43">
        <f t="shared" si="7"/>
        <v>56.5</v>
      </c>
      <c r="AA66" s="219">
        <f t="shared" si="7"/>
        <v>168</v>
      </c>
      <c r="AB66" s="43">
        <f t="shared" si="7"/>
        <v>56</v>
      </c>
      <c r="AC66" s="43">
        <f t="shared" si="7"/>
        <v>56</v>
      </c>
      <c r="AD66" s="43">
        <f t="shared" si="7"/>
        <v>56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663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6">
        <f t="shared" si="8"/>
        <v>165</v>
      </c>
      <c r="P68" s="45">
        <f t="shared" si="8"/>
        <v>55</v>
      </c>
      <c r="Q68" s="45">
        <f t="shared" si="8"/>
        <v>55</v>
      </c>
      <c r="R68" s="45">
        <f t="shared" si="8"/>
        <v>55</v>
      </c>
      <c r="S68" s="216">
        <f t="shared" si="8"/>
        <v>165</v>
      </c>
      <c r="T68" s="45">
        <f t="shared" si="8"/>
        <v>55</v>
      </c>
      <c r="U68" s="45">
        <f t="shared" si="8"/>
        <v>55</v>
      </c>
      <c r="V68" s="45">
        <f t="shared" si="8"/>
        <v>55</v>
      </c>
      <c r="W68" s="216">
        <f t="shared" si="8"/>
        <v>168</v>
      </c>
      <c r="X68" s="45">
        <f t="shared" si="8"/>
        <v>56</v>
      </c>
      <c r="Y68" s="45">
        <f t="shared" si="8"/>
        <v>56</v>
      </c>
      <c r="Z68" s="45">
        <f t="shared" si="8"/>
        <v>56</v>
      </c>
      <c r="AA68" s="216">
        <f t="shared" si="8"/>
        <v>165</v>
      </c>
      <c r="AB68" s="45">
        <f t="shared" si="8"/>
        <v>55</v>
      </c>
      <c r="AC68" s="45">
        <f t="shared" si="8"/>
        <v>55</v>
      </c>
      <c r="AD68" s="45">
        <f t="shared" si="8"/>
        <v>55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663</v>
      </c>
      <c r="O69" s="214">
        <v>165</v>
      </c>
      <c r="P69" s="184">
        <v>55</v>
      </c>
      <c r="Q69" s="184">
        <v>55</v>
      </c>
      <c r="R69" s="184">
        <v>55</v>
      </c>
      <c r="S69" s="214">
        <v>165</v>
      </c>
      <c r="T69" s="184">
        <v>55</v>
      </c>
      <c r="U69" s="184">
        <v>55</v>
      </c>
      <c r="V69" s="184">
        <v>55</v>
      </c>
      <c r="W69" s="214">
        <f>663-165-165-165</f>
        <v>168</v>
      </c>
      <c r="X69" s="184">
        <v>56</v>
      </c>
      <c r="Y69" s="184">
        <v>56</v>
      </c>
      <c r="Z69" s="184">
        <v>56</v>
      </c>
      <c r="AA69" s="214">
        <v>165</v>
      </c>
      <c r="AB69" s="184">
        <v>55</v>
      </c>
      <c r="AC69" s="184">
        <v>55</v>
      </c>
      <c r="AD69" s="184">
        <v>55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10</v>
      </c>
      <c r="O90" s="214">
        <v>2</v>
      </c>
      <c r="P90" s="184">
        <v>1</v>
      </c>
      <c r="Q90" s="184">
        <v>0.5</v>
      </c>
      <c r="R90" s="184">
        <v>0.5</v>
      </c>
      <c r="S90" s="214">
        <v>3</v>
      </c>
      <c r="T90" s="184">
        <v>1</v>
      </c>
      <c r="U90" s="184">
        <v>1</v>
      </c>
      <c r="V90" s="184">
        <v>1</v>
      </c>
      <c r="W90" s="214">
        <v>2</v>
      </c>
      <c r="X90" s="184">
        <v>1</v>
      </c>
      <c r="Y90" s="184">
        <v>0.5</v>
      </c>
      <c r="Z90" s="184">
        <v>0.5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53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19">
        <f t="shared" si="9"/>
        <v>13</v>
      </c>
      <c r="P92" s="43">
        <f t="shared" si="9"/>
        <v>4</v>
      </c>
      <c r="Q92" s="43">
        <f t="shared" si="9"/>
        <v>4</v>
      </c>
      <c r="R92" s="43">
        <f t="shared" si="9"/>
        <v>5</v>
      </c>
      <c r="S92" s="219">
        <f t="shared" si="9"/>
        <v>13</v>
      </c>
      <c r="T92" s="43">
        <f t="shared" si="9"/>
        <v>4</v>
      </c>
      <c r="U92" s="43">
        <f t="shared" si="9"/>
        <v>4</v>
      </c>
      <c r="V92" s="43">
        <f t="shared" si="9"/>
        <v>5</v>
      </c>
      <c r="W92" s="219">
        <f t="shared" si="9"/>
        <v>13</v>
      </c>
      <c r="X92" s="43">
        <f t="shared" si="9"/>
        <v>4</v>
      </c>
      <c r="Y92" s="43">
        <f t="shared" si="9"/>
        <v>4</v>
      </c>
      <c r="Z92" s="43">
        <f t="shared" si="9"/>
        <v>5</v>
      </c>
      <c r="AA92" s="219">
        <f t="shared" si="9"/>
        <v>14</v>
      </c>
      <c r="AB92" s="43">
        <f t="shared" si="9"/>
        <v>4</v>
      </c>
      <c r="AC92" s="43">
        <f t="shared" si="9"/>
        <v>5</v>
      </c>
      <c r="AD92" s="43">
        <f t="shared" si="9"/>
        <v>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53</v>
      </c>
      <c r="L93" s="108">
        <f aca="true" t="shared" si="10" ref="L93:AD93">L94</f>
        <v>0</v>
      </c>
      <c r="M93" s="108">
        <f t="shared" si="10"/>
        <v>0</v>
      </c>
      <c r="N93" s="108">
        <f t="shared" si="10"/>
        <v>0</v>
      </c>
      <c r="O93" s="225">
        <f t="shared" si="10"/>
        <v>13</v>
      </c>
      <c r="P93" s="108">
        <f t="shared" si="10"/>
        <v>4</v>
      </c>
      <c r="Q93" s="108">
        <f t="shared" si="10"/>
        <v>4</v>
      </c>
      <c r="R93" s="108">
        <f t="shared" si="10"/>
        <v>5</v>
      </c>
      <c r="S93" s="225">
        <f t="shared" si="10"/>
        <v>13</v>
      </c>
      <c r="T93" s="108">
        <f t="shared" si="10"/>
        <v>4</v>
      </c>
      <c r="U93" s="108">
        <f t="shared" si="10"/>
        <v>4</v>
      </c>
      <c r="V93" s="108">
        <f t="shared" si="10"/>
        <v>5</v>
      </c>
      <c r="W93" s="225">
        <f t="shared" si="10"/>
        <v>13</v>
      </c>
      <c r="X93" s="108">
        <f t="shared" si="10"/>
        <v>4</v>
      </c>
      <c r="Y93" s="108">
        <f t="shared" si="10"/>
        <v>4</v>
      </c>
      <c r="Z93" s="108">
        <f t="shared" si="10"/>
        <v>5</v>
      </c>
      <c r="AA93" s="225">
        <f t="shared" si="10"/>
        <v>14</v>
      </c>
      <c r="AB93" s="108">
        <f t="shared" si="10"/>
        <v>4</v>
      </c>
      <c r="AC93" s="108">
        <f t="shared" si="10"/>
        <v>5</v>
      </c>
      <c r="AD93" s="108">
        <f t="shared" si="10"/>
        <v>5</v>
      </c>
    </row>
    <row r="94" spans="1:30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53</v>
      </c>
      <c r="O94" s="214">
        <v>13</v>
      </c>
      <c r="P94" s="184">
        <v>4</v>
      </c>
      <c r="Q94" s="184">
        <v>4</v>
      </c>
      <c r="R94" s="184">
        <v>5</v>
      </c>
      <c r="S94" s="214">
        <v>13</v>
      </c>
      <c r="T94" s="184">
        <v>4</v>
      </c>
      <c r="U94" s="184">
        <v>4</v>
      </c>
      <c r="V94" s="184">
        <v>5</v>
      </c>
      <c r="W94" s="214">
        <v>13</v>
      </c>
      <c r="X94" s="184">
        <v>4</v>
      </c>
      <c r="Y94" s="184">
        <v>4</v>
      </c>
      <c r="Z94" s="184">
        <v>5</v>
      </c>
      <c r="AA94" s="214">
        <v>14</v>
      </c>
      <c r="AB94" s="184">
        <v>4</v>
      </c>
      <c r="AC94" s="184">
        <v>5</v>
      </c>
      <c r="AD94" s="184">
        <v>5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O95" s="214"/>
      <c r="P95" s="184"/>
      <c r="Q95" s="184"/>
      <c r="R95" s="184"/>
      <c r="S95" s="214"/>
      <c r="T95" s="184"/>
      <c r="U95" s="184"/>
      <c r="V95" s="184"/>
      <c r="W95" s="214"/>
      <c r="X95" s="184"/>
      <c r="Y95" s="184"/>
      <c r="Z95" s="184"/>
      <c r="AA95" s="214"/>
      <c r="AB95" s="184"/>
      <c r="AC95" s="184"/>
      <c r="AD95" s="184"/>
    </row>
    <row r="96" spans="1:30" ht="24.75" hidden="1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0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1337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6">
        <f t="shared" si="11"/>
        <v>320</v>
      </c>
      <c r="P97" s="51">
        <f t="shared" si="11"/>
        <v>87</v>
      </c>
      <c r="Q97" s="51">
        <f t="shared" si="11"/>
        <v>116</v>
      </c>
      <c r="R97" s="51">
        <f t="shared" si="11"/>
        <v>117</v>
      </c>
      <c r="S97" s="226">
        <f t="shared" si="11"/>
        <v>322</v>
      </c>
      <c r="T97" s="51">
        <f t="shared" si="11"/>
        <v>88</v>
      </c>
      <c r="U97" s="51">
        <f t="shared" si="11"/>
        <v>116.5</v>
      </c>
      <c r="V97" s="51">
        <f t="shared" si="11"/>
        <v>117.5</v>
      </c>
      <c r="W97" s="226">
        <f t="shared" si="11"/>
        <v>345</v>
      </c>
      <c r="X97" s="51">
        <f t="shared" si="11"/>
        <v>88</v>
      </c>
      <c r="Y97" s="51">
        <f t="shared" si="11"/>
        <v>117.5</v>
      </c>
      <c r="Z97" s="51">
        <f t="shared" si="11"/>
        <v>139.5</v>
      </c>
      <c r="AA97" s="226">
        <f t="shared" si="11"/>
        <v>350</v>
      </c>
      <c r="AB97" s="51">
        <f t="shared" si="11"/>
        <v>89</v>
      </c>
      <c r="AC97" s="51">
        <f t="shared" si="11"/>
        <v>141.5</v>
      </c>
      <c r="AD97" s="51">
        <f t="shared" si="11"/>
        <v>119.5</v>
      </c>
    </row>
    <row r="98" spans="15:27" ht="12.75">
      <c r="O98" s="210">
        <f>SUM(P97:R97)</f>
        <v>320</v>
      </c>
      <c r="S98" s="210">
        <f>SUM(T97:V97)</f>
        <v>322</v>
      </c>
      <c r="W98" s="210">
        <f>SUM(X97:Z97)</f>
        <v>345</v>
      </c>
      <c r="AA98" s="210">
        <f>SUM(AB97:AD97)</f>
        <v>350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5850" topLeftCell="S1" activePane="topRight" state="split"/>
      <selection pane="topLeft" activeCell="B102" sqref="B102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487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120</v>
      </c>
      <c r="P23" s="102">
        <f t="shared" si="0"/>
        <v>25</v>
      </c>
      <c r="Q23" s="102">
        <f t="shared" si="0"/>
        <v>46</v>
      </c>
      <c r="R23" s="102">
        <f t="shared" si="0"/>
        <v>49</v>
      </c>
      <c r="S23" s="215">
        <f t="shared" si="0"/>
        <v>121</v>
      </c>
      <c r="T23" s="102">
        <f t="shared" si="0"/>
        <v>39</v>
      </c>
      <c r="U23" s="102">
        <f t="shared" si="0"/>
        <v>39</v>
      </c>
      <c r="V23" s="102">
        <f t="shared" si="0"/>
        <v>43</v>
      </c>
      <c r="W23" s="215">
        <f t="shared" si="0"/>
        <v>124</v>
      </c>
      <c r="X23" s="102">
        <f t="shared" si="0"/>
        <v>39</v>
      </c>
      <c r="Y23" s="102">
        <f t="shared" si="0"/>
        <v>39</v>
      </c>
      <c r="Z23" s="102">
        <f t="shared" si="0"/>
        <v>46</v>
      </c>
      <c r="AA23" s="215">
        <f t="shared" si="0"/>
        <v>122</v>
      </c>
      <c r="AB23" s="102">
        <f t="shared" si="0"/>
        <v>39</v>
      </c>
      <c r="AC23" s="102">
        <f t="shared" si="0"/>
        <v>42</v>
      </c>
      <c r="AD23" s="102">
        <f t="shared" si="0"/>
        <v>41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425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106</v>
      </c>
      <c r="P24" s="45">
        <f aca="true" t="shared" si="1" ref="P24:AD24">P25</f>
        <v>21</v>
      </c>
      <c r="Q24" s="45">
        <f t="shared" si="1"/>
        <v>42</v>
      </c>
      <c r="R24" s="45">
        <f t="shared" si="1"/>
        <v>43</v>
      </c>
      <c r="S24" s="216">
        <f t="shared" si="1"/>
        <v>107</v>
      </c>
      <c r="T24" s="45">
        <f t="shared" si="1"/>
        <v>35</v>
      </c>
      <c r="U24" s="45">
        <f t="shared" si="1"/>
        <v>35</v>
      </c>
      <c r="V24" s="45">
        <f t="shared" si="1"/>
        <v>37</v>
      </c>
      <c r="W24" s="216">
        <f t="shared" si="1"/>
        <v>106</v>
      </c>
      <c r="X24" s="45">
        <f t="shared" si="1"/>
        <v>35</v>
      </c>
      <c r="Y24" s="45">
        <f t="shared" si="1"/>
        <v>35</v>
      </c>
      <c r="Z24" s="45">
        <f t="shared" si="1"/>
        <v>36</v>
      </c>
      <c r="AA24" s="216">
        <f t="shared" si="1"/>
        <v>106</v>
      </c>
      <c r="AB24" s="45">
        <f t="shared" si="1"/>
        <v>35</v>
      </c>
      <c r="AC24" s="45">
        <f t="shared" si="1"/>
        <v>35</v>
      </c>
      <c r="AD24" s="45">
        <f t="shared" si="1"/>
        <v>36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425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106</v>
      </c>
      <c r="P25" s="45">
        <f aca="true" t="shared" si="2" ref="P25:AD25">P26+P27+P30</f>
        <v>21</v>
      </c>
      <c r="Q25" s="45">
        <f t="shared" si="2"/>
        <v>42</v>
      </c>
      <c r="R25" s="45">
        <f t="shared" si="2"/>
        <v>43</v>
      </c>
      <c r="S25" s="216">
        <f t="shared" si="2"/>
        <v>107</v>
      </c>
      <c r="T25" s="45">
        <f t="shared" si="2"/>
        <v>35</v>
      </c>
      <c r="U25" s="45">
        <f t="shared" si="2"/>
        <v>35</v>
      </c>
      <c r="V25" s="45">
        <f t="shared" si="2"/>
        <v>37</v>
      </c>
      <c r="W25" s="216">
        <f t="shared" si="2"/>
        <v>106</v>
      </c>
      <c r="X25" s="45">
        <f t="shared" si="2"/>
        <v>35</v>
      </c>
      <c r="Y25" s="45">
        <f t="shared" si="2"/>
        <v>35</v>
      </c>
      <c r="Z25" s="45">
        <f t="shared" si="2"/>
        <v>36</v>
      </c>
      <c r="AA25" s="216">
        <f t="shared" si="2"/>
        <v>106</v>
      </c>
      <c r="AB25" s="45">
        <f t="shared" si="2"/>
        <v>35</v>
      </c>
      <c r="AC25" s="45">
        <f t="shared" si="2"/>
        <v>35</v>
      </c>
      <c r="AD25" s="45">
        <f t="shared" si="2"/>
        <v>36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425</v>
      </c>
      <c r="O27" s="214">
        <v>106</v>
      </c>
      <c r="P27" s="184">
        <v>21</v>
      </c>
      <c r="Q27" s="184">
        <v>42</v>
      </c>
      <c r="R27" s="184">
        <v>43</v>
      </c>
      <c r="S27" s="214">
        <v>107</v>
      </c>
      <c r="T27" s="184">
        <v>35</v>
      </c>
      <c r="U27" s="184">
        <v>35</v>
      </c>
      <c r="V27" s="184">
        <v>37</v>
      </c>
      <c r="W27" s="214">
        <v>106</v>
      </c>
      <c r="X27" s="184">
        <v>35</v>
      </c>
      <c r="Y27" s="184">
        <v>35</v>
      </c>
      <c r="Z27" s="184">
        <v>36</v>
      </c>
      <c r="AA27" s="214">
        <v>106</v>
      </c>
      <c r="AB27" s="184">
        <v>35</v>
      </c>
      <c r="AC27" s="184">
        <v>35</v>
      </c>
      <c r="AD27" s="184">
        <v>36</v>
      </c>
    </row>
    <row r="28" spans="1:30" ht="73.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425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106</v>
      </c>
      <c r="P28" s="47">
        <v>21</v>
      </c>
      <c r="Q28" s="47">
        <v>42</v>
      </c>
      <c r="R28" s="47">
        <v>43</v>
      </c>
      <c r="S28" s="217">
        <f>S27</f>
        <v>107</v>
      </c>
      <c r="T28" s="47">
        <v>35</v>
      </c>
      <c r="U28" s="47">
        <v>35</v>
      </c>
      <c r="V28" s="47">
        <v>37</v>
      </c>
      <c r="W28" s="217">
        <f>W27</f>
        <v>106</v>
      </c>
      <c r="X28" s="47">
        <v>35</v>
      </c>
      <c r="Y28" s="47">
        <v>35</v>
      </c>
      <c r="Z28" s="47">
        <v>36</v>
      </c>
      <c r="AA28" s="217">
        <f>AA27</f>
        <v>106</v>
      </c>
      <c r="AB28" s="47">
        <v>35</v>
      </c>
      <c r="AC28" s="47">
        <v>35</v>
      </c>
      <c r="AD28" s="47">
        <v>36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7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4</v>
      </c>
      <c r="X34" s="43">
        <f t="shared" si="3"/>
        <v>0</v>
      </c>
      <c r="Y34" s="43">
        <f t="shared" si="3"/>
        <v>0</v>
      </c>
      <c r="Z34" s="43">
        <f t="shared" si="3"/>
        <v>4</v>
      </c>
      <c r="AA34" s="219">
        <f t="shared" si="3"/>
        <v>3</v>
      </c>
      <c r="AB34" s="43">
        <f t="shared" si="3"/>
        <v>0</v>
      </c>
      <c r="AC34" s="43">
        <f t="shared" si="3"/>
        <v>3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5</v>
      </c>
      <c r="O35" s="214"/>
      <c r="P35" s="184"/>
      <c r="Q35" s="184"/>
      <c r="R35" s="184"/>
      <c r="S35" s="214"/>
      <c r="T35" s="184"/>
      <c r="U35" s="184"/>
      <c r="V35" s="184"/>
      <c r="W35" s="214">
        <v>2</v>
      </c>
      <c r="X35" s="184"/>
      <c r="Y35" s="184"/>
      <c r="Z35" s="184">
        <v>2</v>
      </c>
      <c r="AA35" s="214">
        <v>3</v>
      </c>
      <c r="AB35" s="184"/>
      <c r="AC35" s="184">
        <v>3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4"/>
      <c r="P37" s="184"/>
      <c r="Q37" s="184"/>
      <c r="R37" s="184"/>
      <c r="S37" s="214"/>
      <c r="T37" s="184"/>
      <c r="U37" s="184"/>
      <c r="V37" s="184"/>
      <c r="W37" s="214">
        <v>2</v>
      </c>
      <c r="X37" s="184"/>
      <c r="Y37" s="184"/>
      <c r="Z37" s="184">
        <v>2</v>
      </c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K43+K44+K45+K46</f>
        <v>0</v>
      </c>
      <c r="L41" s="124">
        <f>L43+L44+L45+L46</f>
        <v>0</v>
      </c>
      <c r="M41" s="124">
        <f>M43+M44+M45+M46</f>
        <v>0</v>
      </c>
      <c r="N41" s="124">
        <f>N43+N44+N45+N46</f>
        <v>0</v>
      </c>
      <c r="O41" s="270">
        <f>O43+O44+O45+O46</f>
        <v>0</v>
      </c>
      <c r="P41" s="124"/>
      <c r="Q41" s="124"/>
      <c r="R41" s="124"/>
      <c r="S41" s="270">
        <f>S43+S44+S45+S46</f>
        <v>0</v>
      </c>
      <c r="T41" s="124"/>
      <c r="U41" s="124"/>
      <c r="V41" s="124"/>
      <c r="W41" s="270">
        <f>W43+W44+W45+W46</f>
        <v>0</v>
      </c>
      <c r="X41" s="124"/>
      <c r="Y41" s="124"/>
      <c r="Z41" s="124"/>
      <c r="AA41" s="270">
        <f>AA43+AA44+AA45+AA46</f>
        <v>0</v>
      </c>
      <c r="AB41" s="124"/>
      <c r="AC41" s="124"/>
      <c r="AD41" s="124"/>
    </row>
    <row r="42" spans="1:30" ht="13.5" customHeight="1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55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14</v>
      </c>
      <c r="P47" s="43">
        <f aca="true" t="shared" si="4" ref="P47:AD47">P49+P53</f>
        <v>4</v>
      </c>
      <c r="Q47" s="43">
        <f t="shared" si="4"/>
        <v>4</v>
      </c>
      <c r="R47" s="43">
        <f t="shared" si="4"/>
        <v>6</v>
      </c>
      <c r="S47" s="219">
        <f t="shared" si="4"/>
        <v>14</v>
      </c>
      <c r="T47" s="43">
        <f t="shared" si="4"/>
        <v>4</v>
      </c>
      <c r="U47" s="43">
        <f t="shared" si="4"/>
        <v>4</v>
      </c>
      <c r="V47" s="43">
        <f t="shared" si="4"/>
        <v>6</v>
      </c>
      <c r="W47" s="219">
        <f t="shared" si="4"/>
        <v>14</v>
      </c>
      <c r="X47" s="43">
        <f t="shared" si="4"/>
        <v>4</v>
      </c>
      <c r="Y47" s="43">
        <f t="shared" si="4"/>
        <v>4</v>
      </c>
      <c r="Z47" s="43">
        <f t="shared" si="4"/>
        <v>6</v>
      </c>
      <c r="AA47" s="219">
        <f t="shared" si="4"/>
        <v>13</v>
      </c>
      <c r="AB47" s="43">
        <f t="shared" si="4"/>
        <v>4</v>
      </c>
      <c r="AC47" s="43">
        <f t="shared" si="4"/>
        <v>4</v>
      </c>
      <c r="AD47" s="43">
        <f t="shared" si="4"/>
        <v>5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28</v>
      </c>
      <c r="L49" s="121">
        <f>L50</f>
        <v>0</v>
      </c>
      <c r="M49" s="121">
        <f>M50</f>
        <v>0</v>
      </c>
      <c r="N49" s="121">
        <f>N50</f>
        <v>0</v>
      </c>
      <c r="O49" s="222">
        <f>O50</f>
        <v>7</v>
      </c>
      <c r="P49" s="121">
        <f aca="true" t="shared" si="5" ref="P49:AD49">P50</f>
        <v>2</v>
      </c>
      <c r="Q49" s="121">
        <f t="shared" si="5"/>
        <v>2</v>
      </c>
      <c r="R49" s="121">
        <f t="shared" si="5"/>
        <v>3</v>
      </c>
      <c r="S49" s="222">
        <f t="shared" si="5"/>
        <v>7</v>
      </c>
      <c r="T49" s="121">
        <f t="shared" si="5"/>
        <v>2</v>
      </c>
      <c r="U49" s="121">
        <f t="shared" si="5"/>
        <v>2</v>
      </c>
      <c r="V49" s="121">
        <f t="shared" si="5"/>
        <v>3</v>
      </c>
      <c r="W49" s="222">
        <f t="shared" si="5"/>
        <v>7</v>
      </c>
      <c r="X49" s="121">
        <f t="shared" si="5"/>
        <v>2</v>
      </c>
      <c r="Y49" s="121">
        <f t="shared" si="5"/>
        <v>2</v>
      </c>
      <c r="Z49" s="121">
        <f t="shared" si="5"/>
        <v>3</v>
      </c>
      <c r="AA49" s="222">
        <f t="shared" si="5"/>
        <v>7</v>
      </c>
      <c r="AB49" s="121">
        <f t="shared" si="5"/>
        <v>2</v>
      </c>
      <c r="AC49" s="121">
        <f t="shared" si="5"/>
        <v>2</v>
      </c>
      <c r="AD49" s="121">
        <f t="shared" si="5"/>
        <v>3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28</v>
      </c>
      <c r="O50" s="214">
        <f>28/4</f>
        <v>7</v>
      </c>
      <c r="P50" s="184">
        <v>2</v>
      </c>
      <c r="Q50" s="184">
        <v>2</v>
      </c>
      <c r="R50" s="184">
        <v>3</v>
      </c>
      <c r="S50" s="214">
        <v>7</v>
      </c>
      <c r="T50" s="184">
        <v>2</v>
      </c>
      <c r="U50" s="184">
        <v>2</v>
      </c>
      <c r="V50" s="184">
        <v>3</v>
      </c>
      <c r="W50" s="214">
        <v>7</v>
      </c>
      <c r="X50" s="184">
        <v>2</v>
      </c>
      <c r="Y50" s="184">
        <v>2</v>
      </c>
      <c r="Z50" s="184">
        <v>3</v>
      </c>
      <c r="AA50" s="214">
        <v>7</v>
      </c>
      <c r="AB50" s="184">
        <v>2</v>
      </c>
      <c r="AC50" s="184">
        <v>2</v>
      </c>
      <c r="AD50" s="184">
        <v>3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47">
        <f>K54</f>
        <v>27</v>
      </c>
      <c r="L53" s="47">
        <f>L54</f>
        <v>0</v>
      </c>
      <c r="M53" s="47">
        <f>M54</f>
        <v>0</v>
      </c>
      <c r="N53" s="47">
        <f>N54</f>
        <v>0</v>
      </c>
      <c r="O53" s="217">
        <f>O54</f>
        <v>7</v>
      </c>
      <c r="P53" s="47">
        <f aca="true" t="shared" si="6" ref="P53:AD53">P54</f>
        <v>2</v>
      </c>
      <c r="Q53" s="47">
        <f t="shared" si="6"/>
        <v>2</v>
      </c>
      <c r="R53" s="47">
        <f t="shared" si="6"/>
        <v>3</v>
      </c>
      <c r="S53" s="217">
        <f t="shared" si="6"/>
        <v>7</v>
      </c>
      <c r="T53" s="47">
        <f t="shared" si="6"/>
        <v>2</v>
      </c>
      <c r="U53" s="47">
        <f t="shared" si="6"/>
        <v>2</v>
      </c>
      <c r="V53" s="47">
        <f t="shared" si="6"/>
        <v>3</v>
      </c>
      <c r="W53" s="217">
        <f t="shared" si="6"/>
        <v>7</v>
      </c>
      <c r="X53" s="47">
        <f t="shared" si="6"/>
        <v>2</v>
      </c>
      <c r="Y53" s="47">
        <f t="shared" si="6"/>
        <v>2</v>
      </c>
      <c r="Z53" s="47">
        <f t="shared" si="6"/>
        <v>3</v>
      </c>
      <c r="AA53" s="217">
        <f t="shared" si="6"/>
        <v>6</v>
      </c>
      <c r="AB53" s="47">
        <f t="shared" si="6"/>
        <v>2</v>
      </c>
      <c r="AC53" s="47">
        <f t="shared" si="6"/>
        <v>2</v>
      </c>
      <c r="AD53" s="47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27</v>
      </c>
      <c r="O54" s="214">
        <v>7</v>
      </c>
      <c r="P54" s="184">
        <v>2</v>
      </c>
      <c r="Q54" s="184">
        <v>2</v>
      </c>
      <c r="R54" s="184">
        <v>3</v>
      </c>
      <c r="S54" s="214">
        <v>7</v>
      </c>
      <c r="T54" s="184">
        <v>2</v>
      </c>
      <c r="U54" s="184">
        <v>2</v>
      </c>
      <c r="V54" s="184">
        <v>3</v>
      </c>
      <c r="W54" s="214">
        <v>7</v>
      </c>
      <c r="X54" s="184">
        <v>2</v>
      </c>
      <c r="Y54" s="184">
        <v>2</v>
      </c>
      <c r="Z54" s="184">
        <v>3</v>
      </c>
      <c r="AA54" s="214">
        <v>6</v>
      </c>
      <c r="AB54" s="184">
        <v>2</v>
      </c>
      <c r="AC54" s="184">
        <v>2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655</v>
      </c>
      <c r="L66" s="43">
        <f>L68+L71+L72+L83+L90+L91</f>
        <v>16</v>
      </c>
      <c r="M66" s="43">
        <f>M68+M71+M72+M83+M90+M91</f>
        <v>16</v>
      </c>
      <c r="N66" s="43">
        <f>N68+N71+N72+N83+N90+N91</f>
        <v>16</v>
      </c>
      <c r="O66" s="219">
        <f>O68+O71+O72+O83+O90+O91</f>
        <v>164</v>
      </c>
      <c r="P66" s="43">
        <f aca="true" t="shared" si="7" ref="P66:AD66">P68+P71+P72+P83+P90+P91</f>
        <v>54</v>
      </c>
      <c r="Q66" s="43">
        <f t="shared" si="7"/>
        <v>54</v>
      </c>
      <c r="R66" s="43">
        <f t="shared" si="7"/>
        <v>56</v>
      </c>
      <c r="S66" s="219">
        <f t="shared" si="7"/>
        <v>164</v>
      </c>
      <c r="T66" s="43">
        <f t="shared" si="7"/>
        <v>54</v>
      </c>
      <c r="U66" s="43">
        <f t="shared" si="7"/>
        <v>54</v>
      </c>
      <c r="V66" s="43">
        <f t="shared" si="7"/>
        <v>56</v>
      </c>
      <c r="W66" s="219">
        <f t="shared" si="7"/>
        <v>164</v>
      </c>
      <c r="X66" s="43">
        <f t="shared" si="7"/>
        <v>54</v>
      </c>
      <c r="Y66" s="43">
        <f t="shared" si="7"/>
        <v>54</v>
      </c>
      <c r="Z66" s="43">
        <f t="shared" si="7"/>
        <v>56</v>
      </c>
      <c r="AA66" s="219">
        <f t="shared" si="7"/>
        <v>163</v>
      </c>
      <c r="AB66" s="43">
        <f t="shared" si="7"/>
        <v>54</v>
      </c>
      <c r="AC66" s="43">
        <f t="shared" si="7"/>
        <v>54</v>
      </c>
      <c r="AD66" s="43">
        <f t="shared" si="7"/>
        <v>55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639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160</v>
      </c>
      <c r="P68" s="45">
        <f aca="true" t="shared" si="8" ref="P68:AD68">P69+P70+P71</f>
        <v>53</v>
      </c>
      <c r="Q68" s="45">
        <f t="shared" si="8"/>
        <v>53</v>
      </c>
      <c r="R68" s="45">
        <f t="shared" si="8"/>
        <v>54</v>
      </c>
      <c r="S68" s="216">
        <f t="shared" si="8"/>
        <v>160</v>
      </c>
      <c r="T68" s="45">
        <f t="shared" si="8"/>
        <v>53</v>
      </c>
      <c r="U68" s="45">
        <f t="shared" si="8"/>
        <v>53</v>
      </c>
      <c r="V68" s="45">
        <f t="shared" si="8"/>
        <v>54</v>
      </c>
      <c r="W68" s="216">
        <f t="shared" si="8"/>
        <v>160</v>
      </c>
      <c r="X68" s="45">
        <f t="shared" si="8"/>
        <v>53</v>
      </c>
      <c r="Y68" s="45">
        <f t="shared" si="8"/>
        <v>53</v>
      </c>
      <c r="Z68" s="45">
        <f t="shared" si="8"/>
        <v>54</v>
      </c>
      <c r="AA68" s="216">
        <f t="shared" si="8"/>
        <v>159</v>
      </c>
      <c r="AB68" s="45">
        <f t="shared" si="8"/>
        <v>53</v>
      </c>
      <c r="AC68" s="45">
        <f t="shared" si="8"/>
        <v>53</v>
      </c>
      <c r="AD68" s="45">
        <f t="shared" si="8"/>
        <v>53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639</v>
      </c>
      <c r="O69" s="214">
        <v>160</v>
      </c>
      <c r="P69" s="184">
        <v>53</v>
      </c>
      <c r="Q69" s="184">
        <v>53</v>
      </c>
      <c r="R69" s="184">
        <v>54</v>
      </c>
      <c r="S69" s="214">
        <v>160</v>
      </c>
      <c r="T69" s="184">
        <v>53</v>
      </c>
      <c r="U69" s="184">
        <v>53</v>
      </c>
      <c r="V69" s="184">
        <v>54</v>
      </c>
      <c r="W69" s="214">
        <v>160</v>
      </c>
      <c r="X69" s="184">
        <v>53</v>
      </c>
      <c r="Y69" s="184">
        <v>53</v>
      </c>
      <c r="Z69" s="184">
        <v>54</v>
      </c>
      <c r="AA69" s="214">
        <v>159</v>
      </c>
      <c r="AB69" s="184">
        <v>53</v>
      </c>
      <c r="AC69" s="184">
        <v>53</v>
      </c>
      <c r="AD69" s="184">
        <v>53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16</v>
      </c>
      <c r="L90" s="67">
        <v>16</v>
      </c>
      <c r="M90" s="67">
        <v>16</v>
      </c>
      <c r="N90" s="67">
        <v>16</v>
      </c>
      <c r="O90" s="299">
        <v>4</v>
      </c>
      <c r="P90" s="67">
        <v>1</v>
      </c>
      <c r="Q90" s="67">
        <v>1</v>
      </c>
      <c r="R90" s="67">
        <v>2</v>
      </c>
      <c r="S90" s="299">
        <v>4</v>
      </c>
      <c r="T90" s="67">
        <v>1</v>
      </c>
      <c r="U90" s="67">
        <v>1</v>
      </c>
      <c r="V90" s="67">
        <v>2</v>
      </c>
      <c r="W90" s="299">
        <v>4</v>
      </c>
      <c r="X90" s="67">
        <v>1</v>
      </c>
      <c r="Y90" s="67">
        <v>1</v>
      </c>
      <c r="Z90" s="67">
        <v>2</v>
      </c>
      <c r="AA90" s="299">
        <v>4</v>
      </c>
      <c r="AB90" s="67">
        <v>1</v>
      </c>
      <c r="AC90" s="67">
        <v>1</v>
      </c>
      <c r="AD90" s="6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63.2</v>
      </c>
      <c r="L92" s="43">
        <f>L93+L95</f>
        <v>0</v>
      </c>
      <c r="M92" s="43">
        <f>M93+M95</f>
        <v>0</v>
      </c>
      <c r="N92" s="43">
        <f>N93+N95</f>
        <v>0</v>
      </c>
      <c r="O92" s="219">
        <f>O93+O95</f>
        <v>15</v>
      </c>
      <c r="P92" s="43">
        <f aca="true" t="shared" si="9" ref="P92:AD92">P93+P95</f>
        <v>5</v>
      </c>
      <c r="Q92" s="43">
        <f t="shared" si="9"/>
        <v>5</v>
      </c>
      <c r="R92" s="43">
        <f t="shared" si="9"/>
        <v>5</v>
      </c>
      <c r="S92" s="219">
        <f t="shared" si="9"/>
        <v>16</v>
      </c>
      <c r="T92" s="43">
        <f t="shared" si="9"/>
        <v>5</v>
      </c>
      <c r="U92" s="43">
        <f t="shared" si="9"/>
        <v>5</v>
      </c>
      <c r="V92" s="43">
        <f t="shared" si="9"/>
        <v>6</v>
      </c>
      <c r="W92" s="219">
        <f t="shared" si="9"/>
        <v>15.2</v>
      </c>
      <c r="X92" s="43">
        <f t="shared" si="9"/>
        <v>5</v>
      </c>
      <c r="Y92" s="43">
        <f t="shared" si="9"/>
        <v>5</v>
      </c>
      <c r="Z92" s="43">
        <f t="shared" si="9"/>
        <v>5.2</v>
      </c>
      <c r="AA92" s="219">
        <f t="shared" si="9"/>
        <v>17</v>
      </c>
      <c r="AB92" s="43">
        <f t="shared" si="9"/>
        <v>5.5</v>
      </c>
      <c r="AC92" s="43">
        <f t="shared" si="9"/>
        <v>5.2</v>
      </c>
      <c r="AD92" s="43">
        <f t="shared" si="9"/>
        <v>6.5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62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15</v>
      </c>
      <c r="P93" s="108">
        <f aca="true" t="shared" si="10" ref="P93:AD93">P94</f>
        <v>5</v>
      </c>
      <c r="Q93" s="108">
        <f t="shared" si="10"/>
        <v>5</v>
      </c>
      <c r="R93" s="108">
        <f t="shared" si="10"/>
        <v>5</v>
      </c>
      <c r="S93" s="225">
        <f t="shared" si="10"/>
        <v>16</v>
      </c>
      <c r="T93" s="108">
        <f t="shared" si="10"/>
        <v>5</v>
      </c>
      <c r="U93" s="108">
        <f t="shared" si="10"/>
        <v>5</v>
      </c>
      <c r="V93" s="108">
        <f t="shared" si="10"/>
        <v>6</v>
      </c>
      <c r="W93" s="225">
        <f t="shared" si="10"/>
        <v>15</v>
      </c>
      <c r="X93" s="108">
        <f t="shared" si="10"/>
        <v>5</v>
      </c>
      <c r="Y93" s="108">
        <f t="shared" si="10"/>
        <v>5</v>
      </c>
      <c r="Z93" s="108">
        <f t="shared" si="10"/>
        <v>5</v>
      </c>
      <c r="AA93" s="225">
        <f t="shared" si="10"/>
        <v>16</v>
      </c>
      <c r="AB93" s="108">
        <f t="shared" si="10"/>
        <v>5</v>
      </c>
      <c r="AC93" s="108">
        <f t="shared" si="10"/>
        <v>5</v>
      </c>
      <c r="AD93" s="108">
        <f t="shared" si="10"/>
        <v>6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62</v>
      </c>
      <c r="O94" s="214">
        <v>15</v>
      </c>
      <c r="P94" s="184">
        <v>5</v>
      </c>
      <c r="Q94" s="184">
        <v>5</v>
      </c>
      <c r="R94" s="184">
        <v>5</v>
      </c>
      <c r="S94" s="214">
        <v>16</v>
      </c>
      <c r="T94" s="184">
        <v>5</v>
      </c>
      <c r="U94" s="184">
        <v>5</v>
      </c>
      <c r="V94" s="184">
        <v>6</v>
      </c>
      <c r="W94" s="214">
        <v>15</v>
      </c>
      <c r="X94" s="184">
        <v>5</v>
      </c>
      <c r="Y94" s="184">
        <v>5</v>
      </c>
      <c r="Z94" s="184">
        <v>5</v>
      </c>
      <c r="AA94" s="214">
        <v>16</v>
      </c>
      <c r="AB94" s="184">
        <v>5</v>
      </c>
      <c r="AC94" s="184">
        <v>5</v>
      </c>
      <c r="AD94" s="184">
        <v>6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v>1.2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0</v>
      </c>
      <c r="P95" s="108">
        <f aca="true" t="shared" si="11" ref="P95:AD95">P96</f>
        <v>0</v>
      </c>
      <c r="Q95" s="108">
        <f t="shared" si="11"/>
        <v>0</v>
      </c>
      <c r="R95" s="108">
        <f t="shared" si="11"/>
        <v>0</v>
      </c>
      <c r="S95" s="225">
        <f t="shared" si="11"/>
        <v>0</v>
      </c>
      <c r="T95" s="108">
        <f t="shared" si="11"/>
        <v>0</v>
      </c>
      <c r="U95" s="108">
        <f t="shared" si="11"/>
        <v>0</v>
      </c>
      <c r="V95" s="108">
        <f t="shared" si="11"/>
        <v>0</v>
      </c>
      <c r="W95" s="225">
        <v>0.2</v>
      </c>
      <c r="X95" s="108">
        <f t="shared" si="11"/>
        <v>0</v>
      </c>
      <c r="Y95" s="108">
        <f t="shared" si="11"/>
        <v>0</v>
      </c>
      <c r="Z95" s="108">
        <v>0.2</v>
      </c>
      <c r="AA95" s="225">
        <f t="shared" si="11"/>
        <v>1</v>
      </c>
      <c r="AB95" s="108">
        <f t="shared" si="11"/>
        <v>0.5</v>
      </c>
      <c r="AC95" s="108">
        <f t="shared" si="11"/>
        <v>0.2</v>
      </c>
      <c r="AD95" s="108">
        <f t="shared" si="11"/>
        <v>0.5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1</v>
      </c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>
        <v>1</v>
      </c>
      <c r="AB96" s="184">
        <v>0.5</v>
      </c>
      <c r="AC96" s="184">
        <v>0.2</v>
      </c>
      <c r="AD96" s="184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1205.2</v>
      </c>
      <c r="L97" s="51">
        <f>L23+L66+L92</f>
        <v>16</v>
      </c>
      <c r="M97" s="51">
        <f>M23+M66+M92</f>
        <v>16</v>
      </c>
      <c r="N97" s="51">
        <f>N23+N66+N92</f>
        <v>16</v>
      </c>
      <c r="O97" s="226">
        <f>O23+O66+O92</f>
        <v>299</v>
      </c>
      <c r="P97" s="51">
        <f aca="true" t="shared" si="12" ref="P97:AD97">P23+P66+P92</f>
        <v>84</v>
      </c>
      <c r="Q97" s="51">
        <f t="shared" si="12"/>
        <v>105</v>
      </c>
      <c r="R97" s="51">
        <f t="shared" si="12"/>
        <v>110</v>
      </c>
      <c r="S97" s="226">
        <f t="shared" si="12"/>
        <v>301</v>
      </c>
      <c r="T97" s="51">
        <f t="shared" si="12"/>
        <v>98</v>
      </c>
      <c r="U97" s="51">
        <f t="shared" si="12"/>
        <v>98</v>
      </c>
      <c r="V97" s="51">
        <f t="shared" si="12"/>
        <v>105</v>
      </c>
      <c r="W97" s="226">
        <f t="shared" si="12"/>
        <v>303.2</v>
      </c>
      <c r="X97" s="51">
        <f t="shared" si="12"/>
        <v>98</v>
      </c>
      <c r="Y97" s="51">
        <f t="shared" si="12"/>
        <v>98</v>
      </c>
      <c r="Z97" s="51">
        <f t="shared" si="12"/>
        <v>107.2</v>
      </c>
      <c r="AA97" s="226">
        <f t="shared" si="12"/>
        <v>302</v>
      </c>
      <c r="AB97" s="51">
        <f t="shared" si="12"/>
        <v>98.5</v>
      </c>
      <c r="AC97" s="51">
        <f t="shared" si="12"/>
        <v>101.2</v>
      </c>
      <c r="AD97" s="51">
        <f t="shared" si="12"/>
        <v>102.5</v>
      </c>
    </row>
    <row r="98" spans="15:27" ht="12.75">
      <c r="O98" s="210">
        <f>SUM(P97:R97)</f>
        <v>299</v>
      </c>
      <c r="S98" s="210">
        <f>SUM(T97:V97)</f>
        <v>301</v>
      </c>
      <c r="W98" s="210">
        <f>SUM(X97:Z97)</f>
        <v>303.2</v>
      </c>
      <c r="AA98" s="210">
        <f>SUM(AB97:AD97)</f>
        <v>302.2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22">
      <pane xSplit="6735" ySplit="720" topLeftCell="I78" activePane="bottomRight" state="split"/>
      <selection pane="topLeft" activeCell="A25" sqref="A25:IV27"/>
      <selection pane="topRight" activeCell="AA22" sqref="AA1:AA16384"/>
      <selection pane="bottomLeft" activeCell="A84" sqref="A84:IV84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291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72</v>
      </c>
      <c r="P23" s="102">
        <f t="shared" si="0"/>
        <v>15.5</v>
      </c>
      <c r="Q23" s="102">
        <f t="shared" si="0"/>
        <v>27.5</v>
      </c>
      <c r="R23" s="102">
        <f t="shared" si="0"/>
        <v>29</v>
      </c>
      <c r="S23" s="215">
        <f t="shared" si="0"/>
        <v>73</v>
      </c>
      <c r="T23" s="102">
        <f t="shared" si="0"/>
        <v>23.5</v>
      </c>
      <c r="U23" s="102">
        <f t="shared" si="0"/>
        <v>23.5</v>
      </c>
      <c r="V23" s="102">
        <f t="shared" si="0"/>
        <v>26</v>
      </c>
      <c r="W23" s="215">
        <f t="shared" si="0"/>
        <v>72</v>
      </c>
      <c r="X23" s="102">
        <f t="shared" si="0"/>
        <v>23.5</v>
      </c>
      <c r="Y23" s="102">
        <f t="shared" si="0"/>
        <v>23.5</v>
      </c>
      <c r="Z23" s="102">
        <f t="shared" si="0"/>
        <v>25</v>
      </c>
      <c r="AA23" s="215">
        <f t="shared" si="0"/>
        <v>74</v>
      </c>
      <c r="AB23" s="102">
        <f t="shared" si="0"/>
        <v>23.5</v>
      </c>
      <c r="AC23" s="102">
        <f t="shared" si="0"/>
        <v>25.5</v>
      </c>
      <c r="AD23" s="102">
        <f t="shared" si="0"/>
        <v>25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253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63</v>
      </c>
      <c r="P24" s="45">
        <f aca="true" t="shared" si="1" ref="P24:AD24">P25</f>
        <v>13</v>
      </c>
      <c r="Q24" s="45">
        <f t="shared" si="1"/>
        <v>25</v>
      </c>
      <c r="R24" s="45">
        <f t="shared" si="1"/>
        <v>25</v>
      </c>
      <c r="S24" s="216">
        <f t="shared" si="1"/>
        <v>64</v>
      </c>
      <c r="T24" s="45">
        <f t="shared" si="1"/>
        <v>21</v>
      </c>
      <c r="U24" s="45">
        <f t="shared" si="1"/>
        <v>21</v>
      </c>
      <c r="V24" s="45">
        <f t="shared" si="1"/>
        <v>22</v>
      </c>
      <c r="W24" s="216">
        <f t="shared" si="1"/>
        <v>63</v>
      </c>
      <c r="X24" s="45">
        <f t="shared" si="1"/>
        <v>21</v>
      </c>
      <c r="Y24" s="45">
        <f t="shared" si="1"/>
        <v>21</v>
      </c>
      <c r="Z24" s="45">
        <f t="shared" si="1"/>
        <v>21</v>
      </c>
      <c r="AA24" s="216">
        <f t="shared" si="1"/>
        <v>63</v>
      </c>
      <c r="AB24" s="45">
        <f t="shared" si="1"/>
        <v>21</v>
      </c>
      <c r="AC24" s="45">
        <f t="shared" si="1"/>
        <v>21</v>
      </c>
      <c r="AD24" s="45">
        <f t="shared" si="1"/>
        <v>21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63</v>
      </c>
      <c r="P25" s="45">
        <f aca="true" t="shared" si="2" ref="P25:AD25">P26+P27+P30</f>
        <v>13</v>
      </c>
      <c r="Q25" s="45">
        <f t="shared" si="2"/>
        <v>25</v>
      </c>
      <c r="R25" s="45">
        <f t="shared" si="2"/>
        <v>25</v>
      </c>
      <c r="S25" s="216">
        <f t="shared" si="2"/>
        <v>64</v>
      </c>
      <c r="T25" s="45">
        <f t="shared" si="2"/>
        <v>21</v>
      </c>
      <c r="U25" s="45">
        <f t="shared" si="2"/>
        <v>21</v>
      </c>
      <c r="V25" s="45">
        <f t="shared" si="2"/>
        <v>22</v>
      </c>
      <c r="W25" s="216">
        <f t="shared" si="2"/>
        <v>63</v>
      </c>
      <c r="X25" s="45">
        <f t="shared" si="2"/>
        <v>21</v>
      </c>
      <c r="Y25" s="45">
        <f t="shared" si="2"/>
        <v>21</v>
      </c>
      <c r="Z25" s="45">
        <f t="shared" si="2"/>
        <v>21</v>
      </c>
      <c r="AA25" s="216">
        <f t="shared" si="2"/>
        <v>63</v>
      </c>
      <c r="AB25" s="45">
        <f t="shared" si="2"/>
        <v>21</v>
      </c>
      <c r="AC25" s="45">
        <f t="shared" si="2"/>
        <v>21</v>
      </c>
      <c r="AD25" s="45">
        <f t="shared" si="2"/>
        <v>21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253</v>
      </c>
      <c r="O27" s="214">
        <v>63</v>
      </c>
      <c r="P27" s="184">
        <v>13</v>
      </c>
      <c r="Q27" s="184">
        <v>25</v>
      </c>
      <c r="R27" s="184">
        <v>25</v>
      </c>
      <c r="S27" s="214">
        <v>64</v>
      </c>
      <c r="T27" s="184">
        <v>21</v>
      </c>
      <c r="U27" s="184">
        <v>21</v>
      </c>
      <c r="V27" s="184">
        <v>22</v>
      </c>
      <c r="W27" s="214">
        <v>63</v>
      </c>
      <c r="X27" s="184">
        <v>21</v>
      </c>
      <c r="Y27" s="184">
        <v>21</v>
      </c>
      <c r="Z27" s="184">
        <v>21</v>
      </c>
      <c r="AA27" s="214">
        <v>63</v>
      </c>
      <c r="AB27" s="184">
        <v>21</v>
      </c>
      <c r="AC27" s="184">
        <v>21</v>
      </c>
      <c r="AD27" s="184">
        <v>21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253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63</v>
      </c>
      <c r="P28" s="47">
        <v>13</v>
      </c>
      <c r="Q28" s="47">
        <v>25</v>
      </c>
      <c r="R28" s="47">
        <v>25</v>
      </c>
      <c r="S28" s="217">
        <f>S27</f>
        <v>64</v>
      </c>
      <c r="T28" s="47">
        <v>21</v>
      </c>
      <c r="U28" s="47">
        <v>21</v>
      </c>
      <c r="V28" s="47">
        <v>22</v>
      </c>
      <c r="W28" s="217">
        <f>W27</f>
        <v>63</v>
      </c>
      <c r="X28" s="47">
        <v>21</v>
      </c>
      <c r="Y28" s="47">
        <v>21</v>
      </c>
      <c r="Z28" s="47">
        <v>21</v>
      </c>
      <c r="AA28" s="217">
        <f>AA27</f>
        <v>63</v>
      </c>
      <c r="AB28" s="47">
        <v>21</v>
      </c>
      <c r="AC28" s="47">
        <v>21</v>
      </c>
      <c r="AD28" s="47">
        <v>21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3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19">
        <f t="shared" si="3"/>
        <v>2</v>
      </c>
      <c r="AB34" s="43">
        <f t="shared" si="3"/>
        <v>0</v>
      </c>
      <c r="AC34" s="43">
        <f t="shared" si="3"/>
        <v>2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3</v>
      </c>
      <c r="O35" s="214"/>
      <c r="P35" s="184"/>
      <c r="Q35" s="184"/>
      <c r="R35" s="184"/>
      <c r="S35" s="214"/>
      <c r="T35" s="184"/>
      <c r="U35" s="184"/>
      <c r="V35" s="184"/>
      <c r="W35" s="214">
        <f>3/3</f>
        <v>1</v>
      </c>
      <c r="X35" s="184"/>
      <c r="Y35" s="184"/>
      <c r="Z35" s="184">
        <v>1</v>
      </c>
      <c r="AA35" s="214">
        <v>2</v>
      </c>
      <c r="AB35" s="184"/>
      <c r="AC35" s="184">
        <v>2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0.5" customHeight="1" hidden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58">
        <f>K43+K45+K46+K44</f>
        <v>0</v>
      </c>
      <c r="L41" s="58">
        <f>L43+L45+L46+L44</f>
        <v>0</v>
      </c>
      <c r="M41" s="58">
        <f>M43+M45+M46+M44</f>
        <v>0</v>
      </c>
      <c r="N41" s="58">
        <f>N43+N45+N46+N44</f>
        <v>0</v>
      </c>
      <c r="O41" s="221">
        <f>O43+O45+O46+O44</f>
        <v>0</v>
      </c>
      <c r="P41" s="58"/>
      <c r="Q41" s="58"/>
      <c r="R41" s="58"/>
      <c r="S41" s="221">
        <f>S43+S45+S46+S44</f>
        <v>0</v>
      </c>
      <c r="T41" s="58"/>
      <c r="U41" s="58"/>
      <c r="V41" s="58"/>
      <c r="W41" s="221">
        <f>W43+W45+W46+W44</f>
        <v>0</v>
      </c>
      <c r="X41" s="58"/>
      <c r="Y41" s="58"/>
      <c r="Z41" s="58"/>
      <c r="AA41" s="221">
        <f>AA43+AA45+AA46+AA44</f>
        <v>0</v>
      </c>
      <c r="AB41" s="58"/>
      <c r="AC41" s="58"/>
      <c r="AD41" s="58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35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19">
        <f t="shared" si="4"/>
        <v>9</v>
      </c>
      <c r="P47" s="43">
        <f t="shared" si="4"/>
        <v>2.5</v>
      </c>
      <c r="Q47" s="43">
        <f t="shared" si="4"/>
        <v>2.5</v>
      </c>
      <c r="R47" s="43">
        <f t="shared" si="4"/>
        <v>4</v>
      </c>
      <c r="S47" s="219">
        <f t="shared" si="4"/>
        <v>9</v>
      </c>
      <c r="T47" s="43">
        <f t="shared" si="4"/>
        <v>2.5</v>
      </c>
      <c r="U47" s="43">
        <f t="shared" si="4"/>
        <v>2.5</v>
      </c>
      <c r="V47" s="43">
        <f t="shared" si="4"/>
        <v>4</v>
      </c>
      <c r="W47" s="219">
        <f t="shared" si="4"/>
        <v>8</v>
      </c>
      <c r="X47" s="43">
        <f t="shared" si="4"/>
        <v>2.5</v>
      </c>
      <c r="Y47" s="43">
        <f t="shared" si="4"/>
        <v>2.5</v>
      </c>
      <c r="Z47" s="43">
        <f t="shared" si="4"/>
        <v>3</v>
      </c>
      <c r="AA47" s="219">
        <f t="shared" si="4"/>
        <v>9</v>
      </c>
      <c r="AB47" s="43">
        <f t="shared" si="4"/>
        <v>2.5</v>
      </c>
      <c r="AC47" s="43">
        <f t="shared" si="4"/>
        <v>2.5</v>
      </c>
      <c r="AD47" s="43">
        <f t="shared" si="4"/>
        <v>4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20</v>
      </c>
      <c r="L49" s="45">
        <f>L50</f>
        <v>0</v>
      </c>
      <c r="M49" s="45">
        <f>M50</f>
        <v>0</v>
      </c>
      <c r="N49" s="45">
        <f>N50</f>
        <v>0</v>
      </c>
      <c r="O49" s="216">
        <f>O50</f>
        <v>5</v>
      </c>
      <c r="P49" s="45">
        <f aca="true" t="shared" si="5" ref="P49:AD49">P50</f>
        <v>1.5</v>
      </c>
      <c r="Q49" s="45">
        <f t="shared" si="5"/>
        <v>1.5</v>
      </c>
      <c r="R49" s="45">
        <f t="shared" si="5"/>
        <v>2</v>
      </c>
      <c r="S49" s="216">
        <f t="shared" si="5"/>
        <v>5</v>
      </c>
      <c r="T49" s="45">
        <f t="shared" si="5"/>
        <v>1.5</v>
      </c>
      <c r="U49" s="45">
        <f t="shared" si="5"/>
        <v>1.5</v>
      </c>
      <c r="V49" s="45">
        <f t="shared" si="5"/>
        <v>2</v>
      </c>
      <c r="W49" s="216">
        <f t="shared" si="5"/>
        <v>5</v>
      </c>
      <c r="X49" s="45">
        <f t="shared" si="5"/>
        <v>1.5</v>
      </c>
      <c r="Y49" s="45">
        <f t="shared" si="5"/>
        <v>1.5</v>
      </c>
      <c r="Z49" s="45">
        <f t="shared" si="5"/>
        <v>2</v>
      </c>
      <c r="AA49" s="216">
        <f t="shared" si="5"/>
        <v>5</v>
      </c>
      <c r="AB49" s="45">
        <f t="shared" si="5"/>
        <v>1.5</v>
      </c>
      <c r="AC49" s="45">
        <f t="shared" si="5"/>
        <v>1.5</v>
      </c>
      <c r="AD49" s="45">
        <f t="shared" si="5"/>
        <v>2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20</v>
      </c>
      <c r="O50" s="214">
        <f>20/4</f>
        <v>5</v>
      </c>
      <c r="P50" s="184">
        <v>1.5</v>
      </c>
      <c r="Q50" s="184">
        <v>1.5</v>
      </c>
      <c r="R50" s="184">
        <v>2</v>
      </c>
      <c r="S50" s="214">
        <v>5</v>
      </c>
      <c r="T50" s="184">
        <v>1.5</v>
      </c>
      <c r="U50" s="184">
        <v>1.5</v>
      </c>
      <c r="V50" s="184">
        <v>2</v>
      </c>
      <c r="W50" s="214">
        <v>5</v>
      </c>
      <c r="X50" s="184">
        <v>1.5</v>
      </c>
      <c r="Y50" s="184">
        <v>1.5</v>
      </c>
      <c r="Z50" s="184">
        <v>2</v>
      </c>
      <c r="AA50" s="214">
        <v>5</v>
      </c>
      <c r="AB50" s="184">
        <v>1.5</v>
      </c>
      <c r="AC50" s="184">
        <v>1.5</v>
      </c>
      <c r="AD50" s="184">
        <v>2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>
        <v>0</v>
      </c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>
        <v>0</v>
      </c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15</v>
      </c>
      <c r="L53" s="121">
        <f>L54</f>
        <v>0</v>
      </c>
      <c r="M53" s="121">
        <f>M54</f>
        <v>0</v>
      </c>
      <c r="N53" s="121">
        <f>N54</f>
        <v>0</v>
      </c>
      <c r="O53" s="222">
        <f>O54</f>
        <v>4</v>
      </c>
      <c r="P53" s="121">
        <f aca="true" t="shared" si="6" ref="P53:AD53">P54</f>
        <v>1</v>
      </c>
      <c r="Q53" s="121">
        <f t="shared" si="6"/>
        <v>1</v>
      </c>
      <c r="R53" s="121">
        <f t="shared" si="6"/>
        <v>2</v>
      </c>
      <c r="S53" s="222">
        <f t="shared" si="6"/>
        <v>4</v>
      </c>
      <c r="T53" s="121">
        <f t="shared" si="6"/>
        <v>1</v>
      </c>
      <c r="U53" s="121">
        <f t="shared" si="6"/>
        <v>1</v>
      </c>
      <c r="V53" s="121">
        <f t="shared" si="6"/>
        <v>2</v>
      </c>
      <c r="W53" s="222">
        <f t="shared" si="6"/>
        <v>3</v>
      </c>
      <c r="X53" s="121">
        <f t="shared" si="6"/>
        <v>1</v>
      </c>
      <c r="Y53" s="121">
        <f t="shared" si="6"/>
        <v>1</v>
      </c>
      <c r="Z53" s="121">
        <f t="shared" si="6"/>
        <v>1</v>
      </c>
      <c r="AA53" s="222">
        <f t="shared" si="6"/>
        <v>4</v>
      </c>
      <c r="AB53" s="121">
        <f t="shared" si="6"/>
        <v>1</v>
      </c>
      <c r="AC53" s="121">
        <f t="shared" si="6"/>
        <v>1</v>
      </c>
      <c r="AD53" s="121">
        <f t="shared" si="6"/>
        <v>2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15</v>
      </c>
      <c r="O54" s="214">
        <v>4</v>
      </c>
      <c r="P54" s="184">
        <v>1</v>
      </c>
      <c r="Q54" s="184">
        <v>1</v>
      </c>
      <c r="R54" s="184">
        <v>2</v>
      </c>
      <c r="S54" s="214">
        <v>4</v>
      </c>
      <c r="T54" s="184">
        <v>1</v>
      </c>
      <c r="U54" s="184">
        <v>1</v>
      </c>
      <c r="V54" s="184">
        <v>2</v>
      </c>
      <c r="W54" s="214">
        <v>3</v>
      </c>
      <c r="X54" s="184">
        <v>1</v>
      </c>
      <c r="Y54" s="184">
        <v>1</v>
      </c>
      <c r="Z54" s="184">
        <v>1</v>
      </c>
      <c r="AA54" s="214">
        <v>4</v>
      </c>
      <c r="AB54" s="184">
        <v>1</v>
      </c>
      <c r="AC54" s="184">
        <v>1</v>
      </c>
      <c r="AD54" s="184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121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121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458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114</v>
      </c>
      <c r="P66" s="43">
        <f aca="true" t="shared" si="7" ref="P66:AD66">P68+P71+P72+P83+P90+P91</f>
        <v>38</v>
      </c>
      <c r="Q66" s="43">
        <f t="shared" si="7"/>
        <v>38</v>
      </c>
      <c r="R66" s="43">
        <f t="shared" si="7"/>
        <v>38</v>
      </c>
      <c r="S66" s="219">
        <f t="shared" si="7"/>
        <v>115</v>
      </c>
      <c r="T66" s="43">
        <f t="shared" si="7"/>
        <v>38</v>
      </c>
      <c r="U66" s="43">
        <f t="shared" si="7"/>
        <v>38</v>
      </c>
      <c r="V66" s="43">
        <f t="shared" si="7"/>
        <v>39</v>
      </c>
      <c r="W66" s="219">
        <f t="shared" si="7"/>
        <v>115</v>
      </c>
      <c r="X66" s="43">
        <f t="shared" si="7"/>
        <v>38</v>
      </c>
      <c r="Y66" s="43">
        <f t="shared" si="7"/>
        <v>38</v>
      </c>
      <c r="Z66" s="43">
        <f t="shared" si="7"/>
        <v>39</v>
      </c>
      <c r="AA66" s="219">
        <f t="shared" si="7"/>
        <v>114</v>
      </c>
      <c r="AB66" s="43">
        <f t="shared" si="7"/>
        <v>38</v>
      </c>
      <c r="AC66" s="43">
        <f t="shared" si="7"/>
        <v>38</v>
      </c>
      <c r="AD66" s="43">
        <f t="shared" si="7"/>
        <v>38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444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111</v>
      </c>
      <c r="P68" s="45">
        <f aca="true" t="shared" si="8" ref="P68:AD68">P69+P70+P71</f>
        <v>37</v>
      </c>
      <c r="Q68" s="45">
        <f t="shared" si="8"/>
        <v>37</v>
      </c>
      <c r="R68" s="45">
        <f t="shared" si="8"/>
        <v>37</v>
      </c>
      <c r="S68" s="216">
        <f t="shared" si="8"/>
        <v>111</v>
      </c>
      <c r="T68" s="45">
        <f t="shared" si="8"/>
        <v>37</v>
      </c>
      <c r="U68" s="45">
        <f t="shared" si="8"/>
        <v>37</v>
      </c>
      <c r="V68" s="45">
        <f t="shared" si="8"/>
        <v>37</v>
      </c>
      <c r="W68" s="216">
        <f t="shared" si="8"/>
        <v>111</v>
      </c>
      <c r="X68" s="45">
        <f t="shared" si="8"/>
        <v>37</v>
      </c>
      <c r="Y68" s="45">
        <f t="shared" si="8"/>
        <v>37</v>
      </c>
      <c r="Z68" s="45">
        <f t="shared" si="8"/>
        <v>37</v>
      </c>
      <c r="AA68" s="216">
        <f t="shared" si="8"/>
        <v>111</v>
      </c>
      <c r="AB68" s="45">
        <f t="shared" si="8"/>
        <v>37</v>
      </c>
      <c r="AC68" s="45">
        <f t="shared" si="8"/>
        <v>37</v>
      </c>
      <c r="AD68" s="45">
        <f t="shared" si="8"/>
        <v>37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444</v>
      </c>
      <c r="O69" s="214">
        <f>444/4</f>
        <v>111</v>
      </c>
      <c r="P69" s="184">
        <v>37</v>
      </c>
      <c r="Q69" s="184">
        <v>37</v>
      </c>
      <c r="R69" s="184">
        <v>37</v>
      </c>
      <c r="S69" s="214">
        <v>111</v>
      </c>
      <c r="T69" s="184">
        <v>37</v>
      </c>
      <c r="U69" s="184">
        <v>37</v>
      </c>
      <c r="V69" s="184">
        <v>37</v>
      </c>
      <c r="W69" s="214">
        <v>111</v>
      </c>
      <c r="X69" s="184">
        <v>37</v>
      </c>
      <c r="Y69" s="184">
        <v>37</v>
      </c>
      <c r="Z69" s="184">
        <v>37</v>
      </c>
      <c r="AA69" s="214">
        <v>111</v>
      </c>
      <c r="AB69" s="184">
        <v>37</v>
      </c>
      <c r="AC69" s="184">
        <v>37</v>
      </c>
      <c r="AD69" s="184">
        <v>37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/>
      <c r="O83" s="214"/>
      <c r="P83" s="184"/>
      <c r="Q83" s="184"/>
      <c r="R83" s="184"/>
      <c r="S83" s="214"/>
      <c r="T83" s="184"/>
      <c r="U83" s="184"/>
      <c r="V83" s="184"/>
      <c r="W83" s="214"/>
      <c r="X83" s="184"/>
      <c r="Y83" s="184"/>
      <c r="Z83" s="184"/>
      <c r="AA83" s="214"/>
      <c r="AB83" s="184"/>
      <c r="AC83" s="184"/>
      <c r="AD83" s="184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O84" s="214"/>
      <c r="P84" s="184"/>
      <c r="Q84" s="184"/>
      <c r="R84" s="184"/>
      <c r="S84" s="214"/>
      <c r="T84" s="184"/>
      <c r="U84" s="184"/>
      <c r="V84" s="184"/>
      <c r="W84" s="214"/>
      <c r="X84" s="184"/>
      <c r="Y84" s="184"/>
      <c r="Z84" s="184"/>
      <c r="AA84" s="214"/>
      <c r="AB84" s="184"/>
      <c r="AC84" s="184"/>
      <c r="AD84" s="184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14</v>
      </c>
      <c r="O90" s="214">
        <v>3</v>
      </c>
      <c r="P90" s="184">
        <v>1</v>
      </c>
      <c r="Q90" s="184">
        <v>1</v>
      </c>
      <c r="R90" s="184">
        <v>1</v>
      </c>
      <c r="S90" s="214">
        <v>4</v>
      </c>
      <c r="T90" s="184">
        <v>1</v>
      </c>
      <c r="U90" s="184">
        <v>1</v>
      </c>
      <c r="V90" s="184">
        <v>2</v>
      </c>
      <c r="W90" s="214">
        <v>4</v>
      </c>
      <c r="X90" s="184">
        <v>1</v>
      </c>
      <c r="Y90" s="184">
        <v>1</v>
      </c>
      <c r="Z90" s="184">
        <v>2</v>
      </c>
      <c r="AA90" s="214">
        <v>3</v>
      </c>
      <c r="AB90" s="184">
        <v>1</v>
      </c>
      <c r="AC90" s="184">
        <v>1</v>
      </c>
      <c r="AD90" s="184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41</v>
      </c>
      <c r="L92" s="43">
        <f>L94+L96</f>
        <v>0</v>
      </c>
      <c r="M92" s="43">
        <f>M94+M96</f>
        <v>0</v>
      </c>
      <c r="N92" s="43">
        <f>N94+N96</f>
        <v>0</v>
      </c>
      <c r="O92" s="219">
        <f>O94+O96</f>
        <v>16</v>
      </c>
      <c r="P92" s="43">
        <f aca="true" t="shared" si="9" ref="P92:AD92">P94+P96</f>
        <v>5</v>
      </c>
      <c r="Q92" s="43">
        <f t="shared" si="9"/>
        <v>5</v>
      </c>
      <c r="R92" s="43">
        <f t="shared" si="9"/>
        <v>6</v>
      </c>
      <c r="S92" s="219">
        <f t="shared" si="9"/>
        <v>10</v>
      </c>
      <c r="T92" s="43">
        <f t="shared" si="9"/>
        <v>3</v>
      </c>
      <c r="U92" s="43">
        <f t="shared" si="9"/>
        <v>3</v>
      </c>
      <c r="V92" s="43">
        <f t="shared" si="9"/>
        <v>4</v>
      </c>
      <c r="W92" s="219">
        <f t="shared" si="9"/>
        <v>10</v>
      </c>
      <c r="X92" s="43">
        <f t="shared" si="9"/>
        <v>3</v>
      </c>
      <c r="Y92" s="43">
        <f t="shared" si="9"/>
        <v>3</v>
      </c>
      <c r="Z92" s="43">
        <f t="shared" si="9"/>
        <v>4</v>
      </c>
      <c r="AA92" s="219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21">
        <f>K94</f>
        <v>41</v>
      </c>
      <c r="L93" s="121">
        <f>L94</f>
        <v>0</v>
      </c>
      <c r="M93" s="121">
        <f>M94</f>
        <v>0</v>
      </c>
      <c r="N93" s="121">
        <f>N94</f>
        <v>0</v>
      </c>
      <c r="O93" s="222">
        <f>O94</f>
        <v>16</v>
      </c>
      <c r="P93" s="121">
        <v>0.5</v>
      </c>
      <c r="Q93" s="121">
        <v>0.5</v>
      </c>
      <c r="R93" s="121">
        <v>1</v>
      </c>
      <c r="S93" s="222">
        <f>S94</f>
        <v>10</v>
      </c>
      <c r="T93" s="121">
        <f aca="true" t="shared" si="10" ref="T93:AD93">T94</f>
        <v>3</v>
      </c>
      <c r="U93" s="121">
        <f t="shared" si="10"/>
        <v>3</v>
      </c>
      <c r="V93" s="121">
        <f t="shared" si="10"/>
        <v>4</v>
      </c>
      <c r="W93" s="222">
        <f t="shared" si="10"/>
        <v>10</v>
      </c>
      <c r="X93" s="121">
        <f t="shared" si="10"/>
        <v>3</v>
      </c>
      <c r="Y93" s="121">
        <f t="shared" si="10"/>
        <v>3</v>
      </c>
      <c r="Z93" s="121">
        <f t="shared" si="10"/>
        <v>4</v>
      </c>
      <c r="AA93" s="222">
        <f t="shared" si="10"/>
        <v>5</v>
      </c>
      <c r="AB93" s="121">
        <f t="shared" si="10"/>
        <v>1</v>
      </c>
      <c r="AC93" s="121">
        <f t="shared" si="10"/>
        <v>2</v>
      </c>
      <c r="AD93" s="121">
        <f t="shared" si="10"/>
        <v>2</v>
      </c>
    </row>
    <row r="94" spans="1:30" ht="24.75" thickBot="1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41</v>
      </c>
      <c r="O94" s="214">
        <v>16</v>
      </c>
      <c r="P94" s="184">
        <v>5</v>
      </c>
      <c r="Q94" s="184">
        <v>5</v>
      </c>
      <c r="R94" s="184">
        <v>6</v>
      </c>
      <c r="S94" s="214">
        <v>10</v>
      </c>
      <c r="T94" s="184">
        <v>3</v>
      </c>
      <c r="U94" s="184">
        <v>3</v>
      </c>
      <c r="V94" s="184">
        <v>4</v>
      </c>
      <c r="W94" s="214">
        <v>10</v>
      </c>
      <c r="X94" s="184">
        <v>3</v>
      </c>
      <c r="Y94" s="184">
        <v>3</v>
      </c>
      <c r="Z94" s="184">
        <v>4</v>
      </c>
      <c r="AA94" s="214">
        <v>5</v>
      </c>
      <c r="AB94" s="184">
        <v>1</v>
      </c>
      <c r="AC94" s="184">
        <v>2</v>
      </c>
      <c r="AD94" s="184">
        <v>2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0</v>
      </c>
      <c r="O95" s="214"/>
      <c r="P95" s="184"/>
      <c r="Q95" s="184"/>
      <c r="R95" s="184"/>
      <c r="S95" s="214"/>
      <c r="T95" s="184"/>
      <c r="U95" s="184"/>
      <c r="V95" s="184"/>
      <c r="W95" s="214"/>
      <c r="X95" s="184"/>
      <c r="Y95" s="184"/>
      <c r="Z95" s="184"/>
      <c r="AA95" s="214"/>
      <c r="AB95" s="184"/>
      <c r="AC95" s="184"/>
      <c r="AD95" s="184"/>
    </row>
    <row r="96" spans="1:30" ht="24.75" hidden="1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/>
      <c r="O96" s="214"/>
      <c r="P96" s="184"/>
      <c r="Q96" s="184"/>
      <c r="R96" s="184"/>
      <c r="S96" s="214"/>
      <c r="T96" s="184"/>
      <c r="U96" s="184"/>
      <c r="V96" s="184"/>
      <c r="W96" s="214"/>
      <c r="X96" s="184"/>
      <c r="Y96" s="184"/>
      <c r="Z96" s="184"/>
      <c r="AA96" s="214"/>
      <c r="AB96" s="184"/>
      <c r="AC96" s="184"/>
      <c r="AD96" s="184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790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202</v>
      </c>
      <c r="P97" s="51">
        <f aca="true" t="shared" si="11" ref="P97:AD97">P23+P66+P92</f>
        <v>58.5</v>
      </c>
      <c r="Q97" s="51">
        <f t="shared" si="11"/>
        <v>70.5</v>
      </c>
      <c r="R97" s="51">
        <f t="shared" si="11"/>
        <v>73</v>
      </c>
      <c r="S97" s="226">
        <f t="shared" si="11"/>
        <v>198</v>
      </c>
      <c r="T97" s="51">
        <f t="shared" si="11"/>
        <v>64.5</v>
      </c>
      <c r="U97" s="51">
        <f t="shared" si="11"/>
        <v>64.5</v>
      </c>
      <c r="V97" s="51">
        <f t="shared" si="11"/>
        <v>69</v>
      </c>
      <c r="W97" s="226">
        <f t="shared" si="11"/>
        <v>197</v>
      </c>
      <c r="X97" s="51">
        <f t="shared" si="11"/>
        <v>64.5</v>
      </c>
      <c r="Y97" s="51">
        <f t="shared" si="11"/>
        <v>64.5</v>
      </c>
      <c r="Z97" s="51">
        <f t="shared" si="11"/>
        <v>68</v>
      </c>
      <c r="AA97" s="226">
        <f t="shared" si="11"/>
        <v>193</v>
      </c>
      <c r="AB97" s="51">
        <f t="shared" si="11"/>
        <v>62.5</v>
      </c>
      <c r="AC97" s="51">
        <f t="shared" si="11"/>
        <v>65.5</v>
      </c>
      <c r="AD97" s="51">
        <f t="shared" si="11"/>
        <v>65</v>
      </c>
    </row>
    <row r="98" spans="15:27" ht="12.75">
      <c r="O98" s="210">
        <f>SUM(P97:R97)</f>
        <v>202</v>
      </c>
      <c r="S98" s="210">
        <f>SUM(T97:V97)</f>
        <v>198</v>
      </c>
      <c r="W98" s="210">
        <f>SUM(X97:Z97)</f>
        <v>197</v>
      </c>
      <c r="AA98" s="210">
        <f>SUM(AB97:AD97)</f>
        <v>193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1">
      <pane xSplit="5820" topLeftCell="H1" activePane="topRight" state="split"/>
      <selection pane="topLeft" activeCell="B37" sqref="B3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147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346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 aca="true" t="shared" si="0" ref="O23:AD23">O24+O31+O34+O38+O41+O47+O55+O64+O65+O61</f>
        <v>84</v>
      </c>
      <c r="P23" s="102">
        <f t="shared" si="0"/>
        <v>16.5</v>
      </c>
      <c r="Q23" s="102">
        <f t="shared" si="0"/>
        <v>33.5</v>
      </c>
      <c r="R23" s="102">
        <f t="shared" si="0"/>
        <v>34</v>
      </c>
      <c r="S23" s="215">
        <f t="shared" si="0"/>
        <v>87</v>
      </c>
      <c r="T23" s="102">
        <f t="shared" si="0"/>
        <v>28.5</v>
      </c>
      <c r="U23" s="102">
        <f t="shared" si="0"/>
        <v>28.5</v>
      </c>
      <c r="V23" s="102">
        <f t="shared" si="0"/>
        <v>30</v>
      </c>
      <c r="W23" s="215">
        <f t="shared" si="0"/>
        <v>86</v>
      </c>
      <c r="X23" s="102">
        <f t="shared" si="0"/>
        <v>28</v>
      </c>
      <c r="Y23" s="102">
        <f t="shared" si="0"/>
        <v>28</v>
      </c>
      <c r="Z23" s="102">
        <f t="shared" si="0"/>
        <v>30</v>
      </c>
      <c r="AA23" s="215">
        <f t="shared" si="0"/>
        <v>89</v>
      </c>
      <c r="AB23" s="102">
        <f t="shared" si="0"/>
        <v>30</v>
      </c>
      <c r="AC23" s="102">
        <f t="shared" si="0"/>
        <v>30</v>
      </c>
      <c r="AD23" s="102">
        <f t="shared" si="0"/>
        <v>29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329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82</v>
      </c>
      <c r="P24" s="45">
        <f aca="true" t="shared" si="1" ref="P24:AD24">P25</f>
        <v>16</v>
      </c>
      <c r="Q24" s="45">
        <f t="shared" si="1"/>
        <v>33</v>
      </c>
      <c r="R24" s="45">
        <f t="shared" si="1"/>
        <v>33</v>
      </c>
      <c r="S24" s="216">
        <f t="shared" si="1"/>
        <v>83</v>
      </c>
      <c r="T24" s="45">
        <f t="shared" si="1"/>
        <v>27</v>
      </c>
      <c r="U24" s="45">
        <f t="shared" si="1"/>
        <v>27</v>
      </c>
      <c r="V24" s="45">
        <f t="shared" si="1"/>
        <v>29</v>
      </c>
      <c r="W24" s="216">
        <f t="shared" si="1"/>
        <v>82</v>
      </c>
      <c r="X24" s="45">
        <f t="shared" si="1"/>
        <v>27</v>
      </c>
      <c r="Y24" s="45">
        <f t="shared" si="1"/>
        <v>27</v>
      </c>
      <c r="Z24" s="45">
        <f t="shared" si="1"/>
        <v>28</v>
      </c>
      <c r="AA24" s="216">
        <f t="shared" si="1"/>
        <v>82</v>
      </c>
      <c r="AB24" s="45">
        <f t="shared" si="1"/>
        <v>27</v>
      </c>
      <c r="AC24" s="45">
        <f t="shared" si="1"/>
        <v>27</v>
      </c>
      <c r="AD24" s="45">
        <f t="shared" si="1"/>
        <v>28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329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82</v>
      </c>
      <c r="P25" s="45">
        <f aca="true" t="shared" si="2" ref="P25:AD25">P26+P27+P30</f>
        <v>16</v>
      </c>
      <c r="Q25" s="45">
        <f t="shared" si="2"/>
        <v>33</v>
      </c>
      <c r="R25" s="45">
        <f t="shared" si="2"/>
        <v>33</v>
      </c>
      <c r="S25" s="216">
        <f t="shared" si="2"/>
        <v>83</v>
      </c>
      <c r="T25" s="45">
        <f t="shared" si="2"/>
        <v>27</v>
      </c>
      <c r="U25" s="45">
        <f t="shared" si="2"/>
        <v>27</v>
      </c>
      <c r="V25" s="45">
        <f t="shared" si="2"/>
        <v>29</v>
      </c>
      <c r="W25" s="216">
        <f t="shared" si="2"/>
        <v>82</v>
      </c>
      <c r="X25" s="45">
        <f t="shared" si="2"/>
        <v>27</v>
      </c>
      <c r="Y25" s="45">
        <f t="shared" si="2"/>
        <v>27</v>
      </c>
      <c r="Z25" s="45">
        <f t="shared" si="2"/>
        <v>28</v>
      </c>
      <c r="AA25" s="216">
        <f t="shared" si="2"/>
        <v>82</v>
      </c>
      <c r="AB25" s="45">
        <f t="shared" si="2"/>
        <v>27</v>
      </c>
      <c r="AC25" s="45">
        <f t="shared" si="2"/>
        <v>27</v>
      </c>
      <c r="AD25" s="45">
        <f t="shared" si="2"/>
        <v>28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329</v>
      </c>
      <c r="O27" s="214">
        <v>82</v>
      </c>
      <c r="P27" s="184">
        <v>16</v>
      </c>
      <c r="Q27" s="184">
        <v>33</v>
      </c>
      <c r="R27" s="184">
        <v>33</v>
      </c>
      <c r="S27" s="214">
        <v>83</v>
      </c>
      <c r="T27" s="184">
        <v>27</v>
      </c>
      <c r="U27" s="184">
        <v>27</v>
      </c>
      <c r="V27" s="184">
        <v>29</v>
      </c>
      <c r="W27" s="214">
        <v>82</v>
      </c>
      <c r="X27" s="184">
        <v>27</v>
      </c>
      <c r="Y27" s="184">
        <v>27</v>
      </c>
      <c r="Z27" s="184">
        <v>28</v>
      </c>
      <c r="AA27" s="214">
        <v>82</v>
      </c>
      <c r="AB27" s="184">
        <v>27</v>
      </c>
      <c r="AC27" s="184">
        <v>27</v>
      </c>
      <c r="AD27" s="184">
        <v>28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329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82</v>
      </c>
      <c r="P28" s="47">
        <v>16</v>
      </c>
      <c r="Q28" s="47">
        <v>33</v>
      </c>
      <c r="R28" s="47">
        <v>33</v>
      </c>
      <c r="S28" s="217">
        <f>S27</f>
        <v>83</v>
      </c>
      <c r="T28" s="47">
        <v>27</v>
      </c>
      <c r="U28" s="47">
        <v>27</v>
      </c>
      <c r="V28" s="47">
        <v>29</v>
      </c>
      <c r="W28" s="217">
        <f>W27</f>
        <v>82</v>
      </c>
      <c r="X28" s="47">
        <v>27</v>
      </c>
      <c r="Y28" s="47">
        <v>27</v>
      </c>
      <c r="Z28" s="47">
        <v>28</v>
      </c>
      <c r="AA28" s="217">
        <f>AA27</f>
        <v>82</v>
      </c>
      <c r="AB28" s="47">
        <v>27</v>
      </c>
      <c r="AC28" s="47">
        <v>27</v>
      </c>
      <c r="AD28" s="47">
        <v>28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19">
        <f t="shared" si="3"/>
        <v>3</v>
      </c>
      <c r="AB34" s="43">
        <f t="shared" si="3"/>
        <v>1.5</v>
      </c>
      <c r="AC34" s="43">
        <f t="shared" si="3"/>
        <v>1.5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4</v>
      </c>
      <c r="O35" s="214"/>
      <c r="P35" s="184"/>
      <c r="Q35" s="184"/>
      <c r="R35" s="184"/>
      <c r="S35" s="214"/>
      <c r="T35" s="184"/>
      <c r="U35" s="184"/>
      <c r="V35" s="184"/>
      <c r="W35" s="214">
        <v>1</v>
      </c>
      <c r="X35" s="184"/>
      <c r="Y35" s="184"/>
      <c r="Z35" s="184">
        <v>1</v>
      </c>
      <c r="AA35" s="214">
        <v>3</v>
      </c>
      <c r="AB35" s="184">
        <v>1.5</v>
      </c>
      <c r="AC35" s="184">
        <v>1.5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4"/>
      <c r="P37" s="184"/>
      <c r="Q37" s="184"/>
      <c r="R37" s="184"/>
      <c r="S37" s="214"/>
      <c r="T37" s="184"/>
      <c r="U37" s="184"/>
      <c r="V37" s="184"/>
      <c r="W37" s="214"/>
      <c r="X37" s="184"/>
      <c r="Y37" s="184"/>
      <c r="Z37" s="184"/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13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2</v>
      </c>
      <c r="P47" s="43">
        <f aca="true" t="shared" si="4" ref="P47:AD47">P49+P53</f>
        <v>0.5</v>
      </c>
      <c r="Q47" s="43">
        <f t="shared" si="4"/>
        <v>0.5</v>
      </c>
      <c r="R47" s="43">
        <f t="shared" si="4"/>
        <v>1</v>
      </c>
      <c r="S47" s="219">
        <f t="shared" si="4"/>
        <v>4</v>
      </c>
      <c r="T47" s="43">
        <f t="shared" si="4"/>
        <v>1.5</v>
      </c>
      <c r="U47" s="43">
        <f t="shared" si="4"/>
        <v>1.5</v>
      </c>
      <c r="V47" s="43">
        <f t="shared" si="4"/>
        <v>1</v>
      </c>
      <c r="W47" s="219">
        <f t="shared" si="4"/>
        <v>3</v>
      </c>
      <c r="X47" s="43">
        <f t="shared" si="4"/>
        <v>1</v>
      </c>
      <c r="Y47" s="43">
        <f t="shared" si="4"/>
        <v>1</v>
      </c>
      <c r="Z47" s="43">
        <f t="shared" si="4"/>
        <v>1</v>
      </c>
      <c r="AA47" s="219">
        <f t="shared" si="4"/>
        <v>4</v>
      </c>
      <c r="AB47" s="43">
        <f t="shared" si="4"/>
        <v>1.5</v>
      </c>
      <c r="AC47" s="43">
        <f t="shared" si="4"/>
        <v>1.5</v>
      </c>
      <c r="AD47" s="43">
        <f t="shared" si="4"/>
        <v>1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45">
        <f>K50</f>
        <v>3</v>
      </c>
      <c r="L49" s="45">
        <f>L50</f>
        <v>0</v>
      </c>
      <c r="M49" s="45">
        <f>M50</f>
        <v>0</v>
      </c>
      <c r="N49" s="45">
        <f>N50</f>
        <v>0</v>
      </c>
      <c r="O49" s="216">
        <f>O50</f>
        <v>0</v>
      </c>
      <c r="P49" s="45">
        <f aca="true" t="shared" si="5" ref="P49:AD49">P50</f>
        <v>0</v>
      </c>
      <c r="Q49" s="45">
        <f t="shared" si="5"/>
        <v>0</v>
      </c>
      <c r="R49" s="45">
        <f t="shared" si="5"/>
        <v>0</v>
      </c>
      <c r="S49" s="216">
        <f t="shared" si="5"/>
        <v>1</v>
      </c>
      <c r="T49" s="45">
        <f t="shared" si="5"/>
        <v>0.5</v>
      </c>
      <c r="U49" s="45">
        <f t="shared" si="5"/>
        <v>0.5</v>
      </c>
      <c r="V49" s="45">
        <f t="shared" si="5"/>
        <v>0</v>
      </c>
      <c r="W49" s="216">
        <f t="shared" si="5"/>
        <v>1</v>
      </c>
      <c r="X49" s="45">
        <f t="shared" si="5"/>
        <v>0.5</v>
      </c>
      <c r="Y49" s="45">
        <f t="shared" si="5"/>
        <v>0.5</v>
      </c>
      <c r="Z49" s="45">
        <f t="shared" si="5"/>
        <v>0</v>
      </c>
      <c r="AA49" s="216">
        <f t="shared" si="5"/>
        <v>1</v>
      </c>
      <c r="AB49" s="45">
        <f t="shared" si="5"/>
        <v>0.5</v>
      </c>
      <c r="AC49" s="45">
        <f t="shared" si="5"/>
        <v>0.5</v>
      </c>
      <c r="AD49" s="45">
        <f t="shared" si="5"/>
        <v>0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45">
        <v>3</v>
      </c>
      <c r="O50" s="214">
        <v>0</v>
      </c>
      <c r="P50" s="184"/>
      <c r="Q50" s="184"/>
      <c r="R50" s="184"/>
      <c r="S50" s="214">
        <v>1</v>
      </c>
      <c r="T50" s="184">
        <v>0.5</v>
      </c>
      <c r="U50" s="184">
        <v>0.5</v>
      </c>
      <c r="V50" s="184"/>
      <c r="W50" s="214">
        <v>1</v>
      </c>
      <c r="X50" s="184">
        <v>0.5</v>
      </c>
      <c r="Y50" s="184">
        <v>0.5</v>
      </c>
      <c r="Z50" s="184"/>
      <c r="AA50" s="214">
        <v>1</v>
      </c>
      <c r="AB50" s="184">
        <v>0.5</v>
      </c>
      <c r="AC50" s="184">
        <v>0.5</v>
      </c>
      <c r="AD50" s="184"/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47">
        <f>K54</f>
        <v>10</v>
      </c>
      <c r="L53" s="47">
        <f>L54</f>
        <v>0</v>
      </c>
      <c r="M53" s="47">
        <f>M54</f>
        <v>0</v>
      </c>
      <c r="N53" s="47">
        <f>N54</f>
        <v>0</v>
      </c>
      <c r="O53" s="217">
        <f>O54</f>
        <v>2</v>
      </c>
      <c r="P53" s="47">
        <f aca="true" t="shared" si="6" ref="P53:AD53">P54</f>
        <v>0.5</v>
      </c>
      <c r="Q53" s="47">
        <f t="shared" si="6"/>
        <v>0.5</v>
      </c>
      <c r="R53" s="47">
        <f t="shared" si="6"/>
        <v>1</v>
      </c>
      <c r="S53" s="217">
        <f t="shared" si="6"/>
        <v>3</v>
      </c>
      <c r="T53" s="47">
        <f t="shared" si="6"/>
        <v>1</v>
      </c>
      <c r="U53" s="47">
        <f t="shared" si="6"/>
        <v>1</v>
      </c>
      <c r="V53" s="47">
        <f t="shared" si="6"/>
        <v>1</v>
      </c>
      <c r="W53" s="217">
        <f t="shared" si="6"/>
        <v>2</v>
      </c>
      <c r="X53" s="47">
        <f t="shared" si="6"/>
        <v>0.5</v>
      </c>
      <c r="Y53" s="47">
        <f t="shared" si="6"/>
        <v>0.5</v>
      </c>
      <c r="Z53" s="47">
        <f t="shared" si="6"/>
        <v>1</v>
      </c>
      <c r="AA53" s="217">
        <f t="shared" si="6"/>
        <v>3</v>
      </c>
      <c r="AB53" s="47">
        <f t="shared" si="6"/>
        <v>1</v>
      </c>
      <c r="AC53" s="47">
        <f t="shared" si="6"/>
        <v>1</v>
      </c>
      <c r="AD53" s="47">
        <f t="shared" si="6"/>
        <v>1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67">
        <v>10</v>
      </c>
      <c r="O54" s="214">
        <v>2</v>
      </c>
      <c r="P54" s="184">
        <v>0.5</v>
      </c>
      <c r="Q54" s="184">
        <v>0.5</v>
      </c>
      <c r="R54" s="184">
        <v>1</v>
      </c>
      <c r="S54" s="214">
        <v>3</v>
      </c>
      <c r="T54" s="184">
        <v>1</v>
      </c>
      <c r="U54" s="184">
        <v>1</v>
      </c>
      <c r="V54" s="184">
        <v>1</v>
      </c>
      <c r="W54" s="214">
        <v>2</v>
      </c>
      <c r="X54" s="184">
        <v>0.5</v>
      </c>
      <c r="Y54" s="184">
        <v>0.5</v>
      </c>
      <c r="Z54" s="184">
        <v>1</v>
      </c>
      <c r="AA54" s="214">
        <v>3</v>
      </c>
      <c r="AB54" s="184">
        <v>1</v>
      </c>
      <c r="AC54" s="184">
        <v>1</v>
      </c>
      <c r="AD54" s="184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127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560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140</v>
      </c>
      <c r="P66" s="43">
        <f aca="true" t="shared" si="7" ref="P66:AD66">P68+P71+P72+P83+P90+P91</f>
        <v>46.5</v>
      </c>
      <c r="Q66" s="43">
        <f t="shared" si="7"/>
        <v>46.5</v>
      </c>
      <c r="R66" s="43">
        <f t="shared" si="7"/>
        <v>47</v>
      </c>
      <c r="S66" s="219">
        <f t="shared" si="7"/>
        <v>139.5</v>
      </c>
      <c r="T66" s="43">
        <f t="shared" si="7"/>
        <v>46.5</v>
      </c>
      <c r="U66" s="43">
        <f t="shared" si="7"/>
        <v>46</v>
      </c>
      <c r="V66" s="43">
        <f t="shared" si="7"/>
        <v>47</v>
      </c>
      <c r="W66" s="219">
        <f t="shared" si="7"/>
        <v>140.5</v>
      </c>
      <c r="X66" s="43">
        <f t="shared" si="7"/>
        <v>46</v>
      </c>
      <c r="Y66" s="43">
        <f t="shared" si="7"/>
        <v>47</v>
      </c>
      <c r="Z66" s="43">
        <f t="shared" si="7"/>
        <v>47.5</v>
      </c>
      <c r="AA66" s="219">
        <f t="shared" si="7"/>
        <v>140</v>
      </c>
      <c r="AB66" s="43">
        <f t="shared" si="7"/>
        <v>46.5</v>
      </c>
      <c r="AC66" s="43">
        <f t="shared" si="7"/>
        <v>46.5</v>
      </c>
      <c r="AD66" s="43">
        <f t="shared" si="7"/>
        <v>47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139</v>
      </c>
      <c r="P68" s="45">
        <f aca="true" t="shared" si="8" ref="P68:AD68">P69+P70+P71</f>
        <v>46</v>
      </c>
      <c r="Q68" s="45">
        <f t="shared" si="8"/>
        <v>46</v>
      </c>
      <c r="R68" s="45">
        <f t="shared" si="8"/>
        <v>47</v>
      </c>
      <c r="S68" s="216">
        <f t="shared" si="8"/>
        <v>139</v>
      </c>
      <c r="T68" s="45">
        <f t="shared" si="8"/>
        <v>46</v>
      </c>
      <c r="U68" s="45">
        <f t="shared" si="8"/>
        <v>46</v>
      </c>
      <c r="V68" s="45">
        <f t="shared" si="8"/>
        <v>47</v>
      </c>
      <c r="W68" s="216">
        <f t="shared" si="8"/>
        <v>140</v>
      </c>
      <c r="X68" s="45">
        <f t="shared" si="8"/>
        <v>46</v>
      </c>
      <c r="Y68" s="45">
        <f t="shared" si="8"/>
        <v>47</v>
      </c>
      <c r="Z68" s="45">
        <f t="shared" si="8"/>
        <v>47</v>
      </c>
      <c r="AA68" s="216">
        <f t="shared" si="8"/>
        <v>139</v>
      </c>
      <c r="AB68" s="45">
        <f t="shared" si="8"/>
        <v>46</v>
      </c>
      <c r="AC68" s="45">
        <f t="shared" si="8"/>
        <v>46</v>
      </c>
      <c r="AD68" s="45">
        <f t="shared" si="8"/>
        <v>47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557</v>
      </c>
      <c r="O69" s="214">
        <v>139</v>
      </c>
      <c r="P69" s="184">
        <v>46</v>
      </c>
      <c r="Q69" s="184">
        <v>46</v>
      </c>
      <c r="R69" s="184">
        <v>47</v>
      </c>
      <c r="S69" s="214">
        <v>139</v>
      </c>
      <c r="T69" s="184">
        <v>46</v>
      </c>
      <c r="U69" s="184">
        <v>46</v>
      </c>
      <c r="V69" s="184">
        <v>47</v>
      </c>
      <c r="W69" s="214">
        <v>140</v>
      </c>
      <c r="X69" s="184">
        <v>46</v>
      </c>
      <c r="Y69" s="184">
        <v>47</v>
      </c>
      <c r="Z69" s="184">
        <v>47</v>
      </c>
      <c r="AA69" s="214">
        <v>139</v>
      </c>
      <c r="AB69" s="184">
        <v>46</v>
      </c>
      <c r="AC69" s="184">
        <v>46</v>
      </c>
      <c r="AD69" s="184">
        <v>47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3</v>
      </c>
      <c r="O90" s="214">
        <v>1</v>
      </c>
      <c r="P90" s="184">
        <v>0.5</v>
      </c>
      <c r="Q90" s="184">
        <v>0.5</v>
      </c>
      <c r="R90" s="184"/>
      <c r="S90" s="214">
        <v>0.5</v>
      </c>
      <c r="T90" s="184">
        <v>0.5</v>
      </c>
      <c r="U90" s="184"/>
      <c r="V90" s="184"/>
      <c r="W90" s="214">
        <v>0.5</v>
      </c>
      <c r="X90" s="184"/>
      <c r="Y90" s="184"/>
      <c r="Z90" s="184">
        <v>0.5</v>
      </c>
      <c r="AA90" s="214">
        <v>1</v>
      </c>
      <c r="AB90" s="184">
        <v>0.5</v>
      </c>
      <c r="AC90" s="184">
        <v>0.5</v>
      </c>
      <c r="AD90" s="184"/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32</v>
      </c>
      <c r="L92" s="43">
        <f>L94+L96</f>
        <v>0</v>
      </c>
      <c r="M92" s="43">
        <f>M94+M96</f>
        <v>0</v>
      </c>
      <c r="N92" s="43">
        <f>N94+N96</f>
        <v>0</v>
      </c>
      <c r="O92" s="219">
        <f>O94+O96</f>
        <v>5</v>
      </c>
      <c r="P92" s="43">
        <f aca="true" t="shared" si="9" ref="P92:AD92">P94+P96</f>
        <v>1.5</v>
      </c>
      <c r="Q92" s="43">
        <f t="shared" si="9"/>
        <v>1.5</v>
      </c>
      <c r="R92" s="43">
        <f t="shared" si="9"/>
        <v>2</v>
      </c>
      <c r="S92" s="219">
        <f t="shared" si="9"/>
        <v>16.5</v>
      </c>
      <c r="T92" s="43">
        <f t="shared" si="9"/>
        <v>2</v>
      </c>
      <c r="U92" s="43">
        <f t="shared" si="9"/>
        <v>2</v>
      </c>
      <c r="V92" s="43">
        <f t="shared" si="9"/>
        <v>12.5</v>
      </c>
      <c r="W92" s="219">
        <f t="shared" si="9"/>
        <v>5</v>
      </c>
      <c r="X92" s="43">
        <f t="shared" si="9"/>
        <v>1.5</v>
      </c>
      <c r="Y92" s="43">
        <f t="shared" si="9"/>
        <v>1.5</v>
      </c>
      <c r="Z92" s="43">
        <f t="shared" si="9"/>
        <v>2</v>
      </c>
      <c r="AA92" s="219">
        <f t="shared" si="9"/>
        <v>5.5</v>
      </c>
      <c r="AB92" s="43">
        <f t="shared" si="9"/>
        <v>1.5</v>
      </c>
      <c r="AC92" s="43">
        <f t="shared" si="9"/>
        <v>1.5</v>
      </c>
      <c r="AD92" s="43">
        <f t="shared" si="9"/>
        <v>2.5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26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5</v>
      </c>
      <c r="P93" s="108">
        <f aca="true" t="shared" si="10" ref="P93:AD93">P94</f>
        <v>1.5</v>
      </c>
      <c r="Q93" s="108">
        <f t="shared" si="10"/>
        <v>1.5</v>
      </c>
      <c r="R93" s="108">
        <f t="shared" si="10"/>
        <v>2</v>
      </c>
      <c r="S93" s="225">
        <f t="shared" si="10"/>
        <v>11</v>
      </c>
      <c r="T93" s="108">
        <f t="shared" si="10"/>
        <v>2</v>
      </c>
      <c r="U93" s="108">
        <f t="shared" si="10"/>
        <v>2</v>
      </c>
      <c r="V93" s="108">
        <f t="shared" si="10"/>
        <v>7</v>
      </c>
      <c r="W93" s="225">
        <f t="shared" si="10"/>
        <v>5</v>
      </c>
      <c r="X93" s="108">
        <f t="shared" si="10"/>
        <v>1.5</v>
      </c>
      <c r="Y93" s="108">
        <f t="shared" si="10"/>
        <v>1.5</v>
      </c>
      <c r="Z93" s="108">
        <f t="shared" si="10"/>
        <v>2</v>
      </c>
      <c r="AA93" s="225">
        <f t="shared" si="10"/>
        <v>5</v>
      </c>
      <c r="AB93" s="108">
        <f t="shared" si="10"/>
        <v>1.5</v>
      </c>
      <c r="AC93" s="108">
        <f t="shared" si="10"/>
        <v>1.5</v>
      </c>
      <c r="AD93" s="108">
        <f t="shared" si="10"/>
        <v>2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f>21+5</f>
        <v>26</v>
      </c>
      <c r="O94" s="214">
        <v>5</v>
      </c>
      <c r="P94" s="184">
        <v>1.5</v>
      </c>
      <c r="Q94" s="184">
        <v>1.5</v>
      </c>
      <c r="R94" s="184">
        <v>2</v>
      </c>
      <c r="S94" s="214">
        <f>6+5</f>
        <v>11</v>
      </c>
      <c r="T94" s="184">
        <v>2</v>
      </c>
      <c r="U94" s="184">
        <v>2</v>
      </c>
      <c r="V94" s="184">
        <f>2+5</f>
        <v>7</v>
      </c>
      <c r="W94" s="214">
        <v>5</v>
      </c>
      <c r="X94" s="184">
        <v>1.5</v>
      </c>
      <c r="Y94" s="184">
        <v>1.5</v>
      </c>
      <c r="Z94" s="184">
        <v>2</v>
      </c>
      <c r="AA94" s="214">
        <v>5</v>
      </c>
      <c r="AB94" s="184">
        <v>1.5</v>
      </c>
      <c r="AC94" s="184">
        <v>1.5</v>
      </c>
      <c r="AD94" s="184">
        <v>2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6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0</v>
      </c>
      <c r="P95" s="108">
        <f aca="true" t="shared" si="11" ref="P95:AD95">P96</f>
        <v>0</v>
      </c>
      <c r="Q95" s="108">
        <f t="shared" si="11"/>
        <v>0</v>
      </c>
      <c r="R95" s="108">
        <f t="shared" si="11"/>
        <v>0</v>
      </c>
      <c r="S95" s="225">
        <f t="shared" si="11"/>
        <v>5.5</v>
      </c>
      <c r="T95" s="108">
        <f t="shared" si="11"/>
        <v>0</v>
      </c>
      <c r="U95" s="108">
        <f t="shared" si="11"/>
        <v>0</v>
      </c>
      <c r="V95" s="108">
        <f t="shared" si="11"/>
        <v>5.5</v>
      </c>
      <c r="W95" s="225">
        <f t="shared" si="11"/>
        <v>0</v>
      </c>
      <c r="X95" s="108">
        <f t="shared" si="11"/>
        <v>0</v>
      </c>
      <c r="Y95" s="108">
        <f t="shared" si="11"/>
        <v>0</v>
      </c>
      <c r="Z95" s="108">
        <f t="shared" si="11"/>
        <v>0</v>
      </c>
      <c r="AA95" s="225">
        <f t="shared" si="11"/>
        <v>0.5</v>
      </c>
      <c r="AB95" s="108">
        <f t="shared" si="11"/>
        <v>0</v>
      </c>
      <c r="AC95" s="108">
        <f t="shared" si="11"/>
        <v>0</v>
      </c>
      <c r="AD95" s="108">
        <f t="shared" si="11"/>
        <v>0.5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f>1+5</f>
        <v>6</v>
      </c>
      <c r="O96" s="214"/>
      <c r="P96" s="184"/>
      <c r="Q96" s="184"/>
      <c r="R96" s="184"/>
      <c r="S96" s="214">
        <f>0.5+5</f>
        <v>5.5</v>
      </c>
      <c r="T96" s="184"/>
      <c r="U96" s="184"/>
      <c r="V96" s="184">
        <f>0.5+5</f>
        <v>5.5</v>
      </c>
      <c r="W96" s="214"/>
      <c r="X96" s="184"/>
      <c r="Y96" s="184"/>
      <c r="Z96" s="184"/>
      <c r="AA96" s="214">
        <v>0.5</v>
      </c>
      <c r="AB96" s="184"/>
      <c r="AC96" s="184"/>
      <c r="AD96" s="184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938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229</v>
      </c>
      <c r="P97" s="51">
        <f aca="true" t="shared" si="12" ref="P97:AD97">P23+P66+P92</f>
        <v>64.5</v>
      </c>
      <c r="Q97" s="51">
        <f t="shared" si="12"/>
        <v>81.5</v>
      </c>
      <c r="R97" s="51">
        <f t="shared" si="12"/>
        <v>83</v>
      </c>
      <c r="S97" s="226">
        <f t="shared" si="12"/>
        <v>243</v>
      </c>
      <c r="T97" s="51">
        <f t="shared" si="12"/>
        <v>77</v>
      </c>
      <c r="U97" s="51">
        <f t="shared" si="12"/>
        <v>76.5</v>
      </c>
      <c r="V97" s="51">
        <f t="shared" si="12"/>
        <v>89.5</v>
      </c>
      <c r="W97" s="226">
        <f t="shared" si="12"/>
        <v>231.5</v>
      </c>
      <c r="X97" s="51">
        <f t="shared" si="12"/>
        <v>75.5</v>
      </c>
      <c r="Y97" s="51">
        <f t="shared" si="12"/>
        <v>76.5</v>
      </c>
      <c r="Z97" s="51">
        <f t="shared" si="12"/>
        <v>79.5</v>
      </c>
      <c r="AA97" s="226">
        <f t="shared" si="12"/>
        <v>234.5</v>
      </c>
      <c r="AB97" s="51">
        <f t="shared" si="12"/>
        <v>78</v>
      </c>
      <c r="AC97" s="51">
        <f t="shared" si="12"/>
        <v>78</v>
      </c>
      <c r="AD97" s="51">
        <f t="shared" si="12"/>
        <v>78.5</v>
      </c>
    </row>
    <row r="98" spans="15:27" ht="12.75">
      <c r="O98" s="210">
        <f>SUM(P97:R97)</f>
        <v>229</v>
      </c>
      <c r="S98" s="210">
        <f>SUM(T97:V97)</f>
        <v>243</v>
      </c>
      <c r="W98" s="210">
        <f>SUM(X97:Z97)</f>
        <v>231.5</v>
      </c>
      <c r="AA98" s="210">
        <f>SUM(AB97:AD97)</f>
        <v>234.5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4">
      <pane xSplit="6510" topLeftCell="I1" activePane="topRight" state="split"/>
      <selection pane="topLeft" activeCell="A84" sqref="A84:IV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0" customWidth="1"/>
    <col min="19" max="19" width="9.125" style="210" customWidth="1"/>
    <col min="23" max="23" width="9.125" style="210" customWidth="1"/>
    <col min="27" max="27" width="9.125" style="21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30" t="s">
        <v>127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 ht="12.75">
      <c r="A12" s="36"/>
      <c r="B12" s="430" t="s">
        <v>120</v>
      </c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431" t="s">
        <v>0</v>
      </c>
      <c r="D16" s="431"/>
      <c r="E16" s="431"/>
      <c r="F16" s="431"/>
      <c r="G16" s="431"/>
      <c r="H16" s="431"/>
      <c r="I16" s="431"/>
      <c r="J16" s="432"/>
      <c r="K16" s="6"/>
      <c r="O16" s="256"/>
      <c r="P16" s="176"/>
      <c r="Q16" s="176"/>
      <c r="R16" s="176"/>
      <c r="S16" s="211"/>
      <c r="T16" s="176"/>
      <c r="U16" s="176"/>
      <c r="V16" s="176"/>
      <c r="W16" s="211"/>
      <c r="X16" s="176"/>
      <c r="Y16" s="176"/>
      <c r="Z16" s="176"/>
      <c r="AA16" s="227"/>
      <c r="AB16" s="176"/>
      <c r="AC16" s="176"/>
      <c r="AD16" s="176"/>
    </row>
    <row r="17" spans="1:30" ht="12.75">
      <c r="A17" s="7"/>
      <c r="B17" s="8"/>
      <c r="C17" s="433"/>
      <c r="D17" s="433"/>
      <c r="E17" s="433"/>
      <c r="F17" s="433"/>
      <c r="G17" s="433"/>
      <c r="H17" s="433"/>
      <c r="I17" s="433"/>
      <c r="J17" s="434"/>
      <c r="K17" s="10"/>
      <c r="O17" s="257"/>
      <c r="P17" s="179"/>
      <c r="Q17" s="179"/>
      <c r="R17" s="179"/>
      <c r="S17" s="212"/>
      <c r="T17" s="179"/>
      <c r="U17" s="179"/>
      <c r="V17" s="179"/>
      <c r="W17" s="212"/>
      <c r="X17" s="179"/>
      <c r="Y17" s="179"/>
      <c r="Z17" s="179"/>
      <c r="AA17" s="228"/>
      <c r="AB17" s="179"/>
      <c r="AC17" s="179"/>
      <c r="AD17" s="179"/>
    </row>
    <row r="18" spans="1:30" ht="12.75">
      <c r="A18" s="7"/>
      <c r="B18" s="8" t="s">
        <v>1</v>
      </c>
      <c r="C18" s="433"/>
      <c r="D18" s="433"/>
      <c r="E18" s="433"/>
      <c r="F18" s="433"/>
      <c r="G18" s="433"/>
      <c r="H18" s="433"/>
      <c r="I18" s="433"/>
      <c r="J18" s="434"/>
      <c r="K18" s="9" t="s">
        <v>2</v>
      </c>
      <c r="O18" s="257" t="s">
        <v>181</v>
      </c>
      <c r="P18" s="179"/>
      <c r="Q18" s="179"/>
      <c r="R18" s="179"/>
      <c r="S18" s="212"/>
      <c r="T18" s="179"/>
      <c r="U18" s="179"/>
      <c r="V18" s="179"/>
      <c r="W18" s="212"/>
      <c r="X18" s="179"/>
      <c r="Y18" s="179"/>
      <c r="Z18" s="179"/>
      <c r="AA18" s="228"/>
      <c r="AB18" s="179"/>
      <c r="AC18" s="179"/>
      <c r="AD18" s="179"/>
    </row>
    <row r="19" spans="1:30" ht="12.75">
      <c r="A19" s="7"/>
      <c r="B19" s="8"/>
      <c r="C19" s="433"/>
      <c r="D19" s="433"/>
      <c r="E19" s="433"/>
      <c r="F19" s="433"/>
      <c r="G19" s="433"/>
      <c r="H19" s="433"/>
      <c r="I19" s="433"/>
      <c r="J19" s="434"/>
      <c r="K19" s="9" t="s">
        <v>3</v>
      </c>
      <c r="O19" s="257"/>
      <c r="P19" s="179"/>
      <c r="Q19" s="179"/>
      <c r="R19" s="179"/>
      <c r="S19" s="212"/>
      <c r="T19" s="179"/>
      <c r="U19" s="179"/>
      <c r="V19" s="179"/>
      <c r="W19" s="212"/>
      <c r="X19" s="179"/>
      <c r="Y19" s="179"/>
      <c r="Z19" s="179"/>
      <c r="AA19" s="228"/>
      <c r="AB19" s="179"/>
      <c r="AC19" s="179"/>
      <c r="AD19" s="179"/>
    </row>
    <row r="20" spans="1:30" ht="13.5" thickBot="1">
      <c r="A20" s="7"/>
      <c r="B20" s="11"/>
      <c r="C20" s="435"/>
      <c r="D20" s="435"/>
      <c r="E20" s="435"/>
      <c r="F20" s="435"/>
      <c r="G20" s="435"/>
      <c r="H20" s="435"/>
      <c r="I20" s="435"/>
      <c r="J20" s="436"/>
      <c r="K20" s="10"/>
      <c r="O20" s="232"/>
      <c r="P20" s="182"/>
      <c r="Q20" s="182"/>
      <c r="R20" s="182"/>
      <c r="S20" s="213"/>
      <c r="T20" s="182"/>
      <c r="U20" s="182"/>
      <c r="V20" s="182"/>
      <c r="W20" s="213"/>
      <c r="X20" s="182"/>
      <c r="Y20" s="182"/>
      <c r="Z20" s="182"/>
      <c r="AA20" s="229"/>
      <c r="AB20" s="182"/>
      <c r="AC20" s="182"/>
      <c r="AD20" s="182"/>
    </row>
    <row r="21" spans="1:30" ht="13.5" thickBot="1">
      <c r="A21" s="12">
        <v>1</v>
      </c>
      <c r="B21" s="5">
        <v>2</v>
      </c>
      <c r="C21" s="437"/>
      <c r="D21" s="437"/>
      <c r="E21" s="437"/>
      <c r="F21" s="437"/>
      <c r="G21" s="437"/>
      <c r="H21" s="437"/>
      <c r="I21" s="437"/>
      <c r="J21" s="438"/>
      <c r="K21" s="13">
        <v>4</v>
      </c>
      <c r="O21" s="214">
        <v>5</v>
      </c>
      <c r="P21" s="184"/>
      <c r="Q21" s="184"/>
      <c r="R21" s="184"/>
      <c r="S21" s="214">
        <v>6</v>
      </c>
      <c r="T21" s="184"/>
      <c r="U21" s="184"/>
      <c r="V21" s="184"/>
      <c r="W21" s="214">
        <v>7</v>
      </c>
      <c r="X21" s="184"/>
      <c r="Y21" s="184"/>
      <c r="Z21" s="184"/>
      <c r="AA21" s="214">
        <v>8</v>
      </c>
      <c r="AB21" s="184"/>
      <c r="AC21" s="184"/>
      <c r="AD21" s="184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4" t="s">
        <v>177</v>
      </c>
      <c r="P22" s="184" t="s">
        <v>182</v>
      </c>
      <c r="Q22" s="184" t="s">
        <v>183</v>
      </c>
      <c r="R22" s="184" t="s">
        <v>184</v>
      </c>
      <c r="S22" s="214" t="s">
        <v>178</v>
      </c>
      <c r="T22" s="184" t="s">
        <v>185</v>
      </c>
      <c r="U22" s="184" t="s">
        <v>186</v>
      </c>
      <c r="V22" s="184" t="s">
        <v>187</v>
      </c>
      <c r="W22" s="214" t="s">
        <v>179</v>
      </c>
      <c r="X22" s="184" t="s">
        <v>188</v>
      </c>
      <c r="Y22" s="184" t="s">
        <v>189</v>
      </c>
      <c r="Z22" s="184" t="s">
        <v>190</v>
      </c>
      <c r="AA22" s="214" t="s">
        <v>180</v>
      </c>
      <c r="AB22" s="184" t="s">
        <v>191</v>
      </c>
      <c r="AC22" s="184" t="s">
        <v>192</v>
      </c>
      <c r="AD22" s="184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752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5">
        <f>O24+O31+O34+O38+O41+O47+O55+O64+O65+O61</f>
        <v>185</v>
      </c>
      <c r="P23" s="102">
        <f aca="true" t="shared" si="0" ref="P23:AD23">P24+P31+P34+P38+P41+P47+P55+P64+P65+P61</f>
        <v>39</v>
      </c>
      <c r="Q23" s="102">
        <f t="shared" si="0"/>
        <v>72</v>
      </c>
      <c r="R23" s="102">
        <f t="shared" si="0"/>
        <v>74</v>
      </c>
      <c r="S23" s="215">
        <f t="shared" si="0"/>
        <v>187</v>
      </c>
      <c r="T23" s="102">
        <f t="shared" si="0"/>
        <v>61</v>
      </c>
      <c r="U23" s="102">
        <f t="shared" si="0"/>
        <v>61</v>
      </c>
      <c r="V23" s="102">
        <f t="shared" si="0"/>
        <v>65</v>
      </c>
      <c r="W23" s="215">
        <f t="shared" si="0"/>
        <v>190</v>
      </c>
      <c r="X23" s="102">
        <f t="shared" si="0"/>
        <v>61</v>
      </c>
      <c r="Y23" s="102">
        <f t="shared" si="0"/>
        <v>61</v>
      </c>
      <c r="Z23" s="102">
        <f t="shared" si="0"/>
        <v>68</v>
      </c>
      <c r="AA23" s="215">
        <f t="shared" si="0"/>
        <v>190</v>
      </c>
      <c r="AB23" s="102">
        <f t="shared" si="0"/>
        <v>62</v>
      </c>
      <c r="AC23" s="102">
        <f t="shared" si="0"/>
        <v>65</v>
      </c>
      <c r="AD23" s="102">
        <f t="shared" si="0"/>
        <v>63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653</v>
      </c>
      <c r="L24" s="45">
        <f>L25</f>
        <v>0</v>
      </c>
      <c r="M24" s="45">
        <f>M25</f>
        <v>0</v>
      </c>
      <c r="N24" s="45">
        <f>N25</f>
        <v>0</v>
      </c>
      <c r="O24" s="216">
        <f>O25</f>
        <v>163</v>
      </c>
      <c r="P24" s="45">
        <f aca="true" t="shared" si="1" ref="P24:AD24">P25</f>
        <v>32</v>
      </c>
      <c r="Q24" s="45">
        <f t="shared" si="1"/>
        <v>65</v>
      </c>
      <c r="R24" s="45">
        <f t="shared" si="1"/>
        <v>66</v>
      </c>
      <c r="S24" s="216">
        <f t="shared" si="1"/>
        <v>164</v>
      </c>
      <c r="T24" s="45">
        <f t="shared" si="1"/>
        <v>54</v>
      </c>
      <c r="U24" s="45">
        <f t="shared" si="1"/>
        <v>54</v>
      </c>
      <c r="V24" s="45">
        <f t="shared" si="1"/>
        <v>56</v>
      </c>
      <c r="W24" s="216">
        <f t="shared" si="1"/>
        <v>163</v>
      </c>
      <c r="X24" s="45">
        <f t="shared" si="1"/>
        <v>54</v>
      </c>
      <c r="Y24" s="45">
        <f t="shared" si="1"/>
        <v>54</v>
      </c>
      <c r="Z24" s="45">
        <f t="shared" si="1"/>
        <v>55</v>
      </c>
      <c r="AA24" s="216">
        <f t="shared" si="1"/>
        <v>163</v>
      </c>
      <c r="AB24" s="45">
        <f t="shared" si="1"/>
        <v>54</v>
      </c>
      <c r="AC24" s="45">
        <f t="shared" si="1"/>
        <v>54</v>
      </c>
      <c r="AD24" s="45">
        <f t="shared" si="1"/>
        <v>55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653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6">
        <f>O26+O27+O30</f>
        <v>163</v>
      </c>
      <c r="P25" s="45">
        <f aca="true" t="shared" si="2" ref="P25:AD25">P26+P27+P30</f>
        <v>32</v>
      </c>
      <c r="Q25" s="45">
        <f t="shared" si="2"/>
        <v>65</v>
      </c>
      <c r="R25" s="45">
        <f t="shared" si="2"/>
        <v>66</v>
      </c>
      <c r="S25" s="216">
        <f t="shared" si="2"/>
        <v>164</v>
      </c>
      <c r="T25" s="45">
        <f t="shared" si="2"/>
        <v>54</v>
      </c>
      <c r="U25" s="45">
        <f t="shared" si="2"/>
        <v>54</v>
      </c>
      <c r="V25" s="45">
        <f t="shared" si="2"/>
        <v>56</v>
      </c>
      <c r="W25" s="216">
        <f t="shared" si="2"/>
        <v>163</v>
      </c>
      <c r="X25" s="45">
        <f t="shared" si="2"/>
        <v>54</v>
      </c>
      <c r="Y25" s="45">
        <f t="shared" si="2"/>
        <v>54</v>
      </c>
      <c r="Z25" s="45">
        <f t="shared" si="2"/>
        <v>55</v>
      </c>
      <c r="AA25" s="216">
        <f t="shared" si="2"/>
        <v>163</v>
      </c>
      <c r="AB25" s="45">
        <f t="shared" si="2"/>
        <v>54</v>
      </c>
      <c r="AC25" s="45">
        <f t="shared" si="2"/>
        <v>54</v>
      </c>
      <c r="AD25" s="45">
        <f t="shared" si="2"/>
        <v>55</v>
      </c>
    </row>
    <row r="26" spans="1:30" ht="24" customHeight="1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4"/>
      <c r="P26" s="184"/>
      <c r="Q26" s="184"/>
      <c r="R26" s="184"/>
      <c r="S26" s="214"/>
      <c r="T26" s="184"/>
      <c r="U26" s="184"/>
      <c r="V26" s="184"/>
      <c r="W26" s="214"/>
      <c r="X26" s="184"/>
      <c r="Y26" s="184"/>
      <c r="Z26" s="184"/>
      <c r="AA26" s="214"/>
      <c r="AB26" s="184"/>
      <c r="AC26" s="184"/>
      <c r="AD26" s="184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653</v>
      </c>
      <c r="O27" s="214">
        <v>163</v>
      </c>
      <c r="P27" s="184">
        <v>32</v>
      </c>
      <c r="Q27" s="184">
        <v>65</v>
      </c>
      <c r="R27" s="184">
        <v>66</v>
      </c>
      <c r="S27" s="214">
        <v>164</v>
      </c>
      <c r="T27" s="184">
        <v>54</v>
      </c>
      <c r="U27" s="184">
        <v>54</v>
      </c>
      <c r="V27" s="184">
        <v>56</v>
      </c>
      <c r="W27" s="214">
        <v>163</v>
      </c>
      <c r="X27" s="184">
        <v>54</v>
      </c>
      <c r="Y27" s="184">
        <v>54</v>
      </c>
      <c r="Z27" s="184">
        <v>55</v>
      </c>
      <c r="AA27" s="214">
        <v>163</v>
      </c>
      <c r="AB27" s="184">
        <v>54</v>
      </c>
      <c r="AC27" s="184">
        <v>54</v>
      </c>
      <c r="AD27" s="184">
        <v>55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653</v>
      </c>
      <c r="L28" s="47">
        <f>L27</f>
        <v>0</v>
      </c>
      <c r="M28" s="47">
        <f>M27</f>
        <v>0</v>
      </c>
      <c r="N28" s="47">
        <f>N27</f>
        <v>0</v>
      </c>
      <c r="O28" s="217">
        <f>O27</f>
        <v>163</v>
      </c>
      <c r="P28" s="47">
        <v>32</v>
      </c>
      <c r="Q28" s="47">
        <v>65</v>
      </c>
      <c r="R28" s="47">
        <v>66</v>
      </c>
      <c r="S28" s="217">
        <f>S27</f>
        <v>164</v>
      </c>
      <c r="T28" s="47">
        <v>54</v>
      </c>
      <c r="U28" s="47">
        <v>54</v>
      </c>
      <c r="V28" s="47">
        <v>56</v>
      </c>
      <c r="W28" s="217">
        <f>W27</f>
        <v>163</v>
      </c>
      <c r="X28" s="47">
        <v>54</v>
      </c>
      <c r="Y28" s="47">
        <v>54</v>
      </c>
      <c r="Z28" s="47">
        <v>55</v>
      </c>
      <c r="AA28" s="217">
        <f>AA27</f>
        <v>163</v>
      </c>
      <c r="AB28" s="47">
        <v>54</v>
      </c>
      <c r="AC28" s="47">
        <v>54</v>
      </c>
      <c r="AD28" s="47">
        <v>55</v>
      </c>
    </row>
    <row r="29" spans="1:30" ht="51.75" customHeight="1" hidden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4"/>
      <c r="P29" s="184"/>
      <c r="Q29" s="184"/>
      <c r="R29" s="184"/>
      <c r="S29" s="214"/>
      <c r="T29" s="184"/>
      <c r="U29" s="184"/>
      <c r="V29" s="184"/>
      <c r="W29" s="214"/>
      <c r="X29" s="184"/>
      <c r="Y29" s="184"/>
      <c r="Z29" s="184"/>
      <c r="AA29" s="214"/>
      <c r="AB29" s="184"/>
      <c r="AC29" s="184"/>
      <c r="AD29" s="184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4"/>
      <c r="P30" s="184"/>
      <c r="Q30" s="184"/>
      <c r="R30" s="184"/>
      <c r="S30" s="214"/>
      <c r="T30" s="184"/>
      <c r="U30" s="184"/>
      <c r="V30" s="184"/>
      <c r="W30" s="214"/>
      <c r="X30" s="184"/>
      <c r="Y30" s="184"/>
      <c r="Z30" s="184"/>
      <c r="AA30" s="214"/>
      <c r="AB30" s="184"/>
      <c r="AC30" s="184"/>
      <c r="AD30" s="184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19">
        <f>O32+O33</f>
        <v>0</v>
      </c>
      <c r="P31" s="43"/>
      <c r="Q31" s="43"/>
      <c r="R31" s="43"/>
      <c r="S31" s="219">
        <f>S32+S33</f>
        <v>0</v>
      </c>
      <c r="T31" s="43"/>
      <c r="U31" s="43"/>
      <c r="V31" s="43"/>
      <c r="W31" s="219">
        <f>W32+W33</f>
        <v>0</v>
      </c>
      <c r="X31" s="43"/>
      <c r="Y31" s="43"/>
      <c r="Z31" s="43"/>
      <c r="AA31" s="219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4"/>
      <c r="P32" s="184"/>
      <c r="Q32" s="184"/>
      <c r="R32" s="184"/>
      <c r="S32" s="214"/>
      <c r="T32" s="184"/>
      <c r="U32" s="184"/>
      <c r="V32" s="184"/>
      <c r="W32" s="214"/>
      <c r="X32" s="184"/>
      <c r="Y32" s="184"/>
      <c r="Z32" s="184"/>
      <c r="AA32" s="214"/>
      <c r="AB32" s="184"/>
      <c r="AC32" s="184"/>
      <c r="AD32" s="184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4"/>
      <c r="P33" s="184"/>
      <c r="Q33" s="184"/>
      <c r="R33" s="184"/>
      <c r="S33" s="214"/>
      <c r="T33" s="184"/>
      <c r="U33" s="184"/>
      <c r="V33" s="184"/>
      <c r="W33" s="214"/>
      <c r="X33" s="184"/>
      <c r="Y33" s="184"/>
      <c r="Z33" s="184"/>
      <c r="AA33" s="214"/>
      <c r="AB33" s="184"/>
      <c r="AC33" s="184"/>
      <c r="AD33" s="184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10</v>
      </c>
      <c r="L34" s="43">
        <f>L35+L36+L37</f>
        <v>0</v>
      </c>
      <c r="M34" s="43">
        <f>M35+M36+M37</f>
        <v>0</v>
      </c>
      <c r="N34" s="43">
        <f>N35+N36+N37</f>
        <v>0</v>
      </c>
      <c r="O34" s="219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19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19">
        <f t="shared" si="3"/>
        <v>5</v>
      </c>
      <c r="X34" s="43">
        <f t="shared" si="3"/>
        <v>0</v>
      </c>
      <c r="Y34" s="43">
        <f t="shared" si="3"/>
        <v>0</v>
      </c>
      <c r="Z34" s="43">
        <f t="shared" si="3"/>
        <v>5</v>
      </c>
      <c r="AA34" s="219">
        <f t="shared" si="3"/>
        <v>5</v>
      </c>
      <c r="AB34" s="43">
        <f t="shared" si="3"/>
        <v>1</v>
      </c>
      <c r="AC34" s="43">
        <f t="shared" si="3"/>
        <v>4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</v>
      </c>
      <c r="O35" s="214"/>
      <c r="P35" s="184"/>
      <c r="Q35" s="184"/>
      <c r="R35" s="184"/>
      <c r="S35" s="214"/>
      <c r="T35" s="184"/>
      <c r="U35" s="184"/>
      <c r="V35" s="184"/>
      <c r="W35" s="214">
        <v>3</v>
      </c>
      <c r="X35" s="184"/>
      <c r="Y35" s="184"/>
      <c r="Z35" s="184">
        <v>3</v>
      </c>
      <c r="AA35" s="214">
        <v>5</v>
      </c>
      <c r="AB35" s="184">
        <v>1</v>
      </c>
      <c r="AC35" s="184">
        <v>4</v>
      </c>
      <c r="AD35" s="184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4"/>
      <c r="P36" s="184"/>
      <c r="Q36" s="184"/>
      <c r="R36" s="184"/>
      <c r="S36" s="214"/>
      <c r="T36" s="184"/>
      <c r="U36" s="184"/>
      <c r="V36" s="184"/>
      <c r="W36" s="214"/>
      <c r="X36" s="184"/>
      <c r="Y36" s="184"/>
      <c r="Z36" s="184"/>
      <c r="AA36" s="214"/>
      <c r="AB36" s="184"/>
      <c r="AC36" s="184"/>
      <c r="AD36" s="184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4"/>
      <c r="P37" s="184"/>
      <c r="Q37" s="184"/>
      <c r="R37" s="184"/>
      <c r="S37" s="214"/>
      <c r="T37" s="184"/>
      <c r="U37" s="184"/>
      <c r="V37" s="184"/>
      <c r="W37" s="214">
        <v>2</v>
      </c>
      <c r="X37" s="184"/>
      <c r="Y37" s="184"/>
      <c r="Z37" s="184">
        <v>2</v>
      </c>
      <c r="AA37" s="214"/>
      <c r="AB37" s="184"/>
      <c r="AC37" s="184"/>
      <c r="AD37" s="184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6">
        <f>O39+O40</f>
        <v>0</v>
      </c>
      <c r="P38" s="51"/>
      <c r="Q38" s="51"/>
      <c r="R38" s="51"/>
      <c r="S38" s="226">
        <f>S39+S40</f>
        <v>0</v>
      </c>
      <c r="T38" s="51"/>
      <c r="U38" s="51"/>
      <c r="V38" s="51"/>
      <c r="W38" s="226">
        <f>W39+W40</f>
        <v>0</v>
      </c>
      <c r="X38" s="51"/>
      <c r="Y38" s="51"/>
      <c r="Z38" s="51"/>
      <c r="AA38" s="226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4"/>
      <c r="P39" s="184"/>
      <c r="Q39" s="184"/>
      <c r="R39" s="184"/>
      <c r="S39" s="214"/>
      <c r="T39" s="184"/>
      <c r="U39" s="184"/>
      <c r="V39" s="184"/>
      <c r="W39" s="214"/>
      <c r="X39" s="184"/>
      <c r="Y39" s="184"/>
      <c r="Z39" s="184"/>
      <c r="AA39" s="214"/>
      <c r="AB39" s="184"/>
      <c r="AC39" s="184"/>
      <c r="AD39" s="184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4"/>
      <c r="P40" s="184"/>
      <c r="Q40" s="184"/>
      <c r="R40" s="184"/>
      <c r="S40" s="214"/>
      <c r="T40" s="184"/>
      <c r="U40" s="184"/>
      <c r="V40" s="184"/>
      <c r="W40" s="214"/>
      <c r="X40" s="184"/>
      <c r="Y40" s="184"/>
      <c r="Z40" s="184"/>
      <c r="AA40" s="214"/>
      <c r="AB40" s="184"/>
      <c r="AC40" s="184"/>
      <c r="AD40" s="184"/>
    </row>
    <row r="41" spans="1:30" ht="13.5" hidden="1" thickBot="1">
      <c r="A41" s="428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4">
        <f>K43+K45+K46+K44</f>
        <v>0</v>
      </c>
      <c r="L41" s="124">
        <f>L43+L45+L46+L44</f>
        <v>0</v>
      </c>
      <c r="M41" s="124">
        <f>M43+M45+M46+M44</f>
        <v>0</v>
      </c>
      <c r="N41" s="124">
        <f>N43+N45+N46+N44</f>
        <v>0</v>
      </c>
      <c r="O41" s="270">
        <f>O43+O45+O46+O44</f>
        <v>0</v>
      </c>
      <c r="P41" s="124"/>
      <c r="Q41" s="124"/>
      <c r="R41" s="124"/>
      <c r="S41" s="270">
        <f>S43+S45+S46+S44</f>
        <v>0</v>
      </c>
      <c r="T41" s="124"/>
      <c r="U41" s="124"/>
      <c r="V41" s="124"/>
      <c r="W41" s="270">
        <f>W43+W45+W46+W44</f>
        <v>0</v>
      </c>
      <c r="X41" s="124"/>
      <c r="Y41" s="124"/>
      <c r="Z41" s="124"/>
      <c r="AA41" s="270">
        <f>AA43+AA45+AA46+AA44</f>
        <v>0</v>
      </c>
      <c r="AB41" s="124"/>
      <c r="AC41" s="124"/>
      <c r="AD41" s="124"/>
    </row>
    <row r="42" spans="1:30" ht="13.5" hidden="1" thickBot="1">
      <c r="A42" s="429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4"/>
      <c r="P42" s="184"/>
      <c r="Q42" s="184"/>
      <c r="R42" s="184"/>
      <c r="S42" s="214"/>
      <c r="T42" s="184"/>
      <c r="U42" s="184"/>
      <c r="V42" s="184"/>
      <c r="W42" s="214"/>
      <c r="X42" s="184"/>
      <c r="Y42" s="184"/>
      <c r="Z42" s="184"/>
      <c r="AA42" s="214"/>
      <c r="AB42" s="184"/>
      <c r="AC42" s="184"/>
      <c r="AD42" s="184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4"/>
      <c r="P43" s="184"/>
      <c r="Q43" s="184"/>
      <c r="R43" s="184"/>
      <c r="S43" s="214"/>
      <c r="T43" s="184"/>
      <c r="U43" s="184"/>
      <c r="V43" s="184"/>
      <c r="W43" s="214"/>
      <c r="X43" s="184"/>
      <c r="Y43" s="184"/>
      <c r="Z43" s="184"/>
      <c r="AA43" s="214"/>
      <c r="AB43" s="184"/>
      <c r="AC43" s="184"/>
      <c r="AD43" s="184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4"/>
      <c r="P44" s="184"/>
      <c r="Q44" s="184"/>
      <c r="R44" s="184"/>
      <c r="S44" s="214"/>
      <c r="T44" s="184"/>
      <c r="U44" s="184"/>
      <c r="V44" s="184"/>
      <c r="W44" s="214"/>
      <c r="X44" s="184"/>
      <c r="Y44" s="184"/>
      <c r="Z44" s="184"/>
      <c r="AA44" s="214"/>
      <c r="AB44" s="184"/>
      <c r="AC44" s="184"/>
      <c r="AD44" s="184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4"/>
      <c r="P45" s="184"/>
      <c r="Q45" s="184"/>
      <c r="R45" s="184"/>
      <c r="S45" s="214"/>
      <c r="T45" s="184"/>
      <c r="U45" s="184"/>
      <c r="V45" s="184"/>
      <c r="W45" s="214"/>
      <c r="X45" s="184"/>
      <c r="Y45" s="184"/>
      <c r="Z45" s="184"/>
      <c r="AA45" s="214"/>
      <c r="AB45" s="184"/>
      <c r="AC45" s="184"/>
      <c r="AD45" s="184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4"/>
      <c r="P46" s="184"/>
      <c r="Q46" s="184"/>
      <c r="R46" s="184"/>
      <c r="S46" s="214"/>
      <c r="T46" s="184"/>
      <c r="U46" s="184"/>
      <c r="V46" s="184"/>
      <c r="W46" s="214"/>
      <c r="X46" s="184"/>
      <c r="Y46" s="184"/>
      <c r="Z46" s="184"/>
      <c r="AA46" s="214"/>
      <c r="AB46" s="184"/>
      <c r="AC46" s="184"/>
      <c r="AD46" s="184"/>
    </row>
    <row r="47" spans="1:30" ht="25.5">
      <c r="A47" s="15" t="s">
        <v>62</v>
      </c>
      <c r="B47" s="141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89</v>
      </c>
      <c r="L47" s="43">
        <f>L49+L53</f>
        <v>0</v>
      </c>
      <c r="M47" s="43">
        <f>M49+M53</f>
        <v>0</v>
      </c>
      <c r="N47" s="43">
        <f>N49+N53</f>
        <v>0</v>
      </c>
      <c r="O47" s="219">
        <f>O49+O53</f>
        <v>22</v>
      </c>
      <c r="P47" s="43">
        <f aca="true" t="shared" si="4" ref="P47:AD47">P49+P53</f>
        <v>7</v>
      </c>
      <c r="Q47" s="43">
        <f t="shared" si="4"/>
        <v>7</v>
      </c>
      <c r="R47" s="43">
        <f t="shared" si="4"/>
        <v>8</v>
      </c>
      <c r="S47" s="219">
        <f t="shared" si="4"/>
        <v>23</v>
      </c>
      <c r="T47" s="43">
        <f t="shared" si="4"/>
        <v>7</v>
      </c>
      <c r="U47" s="43">
        <f t="shared" si="4"/>
        <v>7</v>
      </c>
      <c r="V47" s="43">
        <f t="shared" si="4"/>
        <v>9</v>
      </c>
      <c r="W47" s="219">
        <f t="shared" si="4"/>
        <v>22</v>
      </c>
      <c r="X47" s="43">
        <f t="shared" si="4"/>
        <v>7</v>
      </c>
      <c r="Y47" s="43">
        <f t="shared" si="4"/>
        <v>7</v>
      </c>
      <c r="Z47" s="43">
        <f t="shared" si="4"/>
        <v>8</v>
      </c>
      <c r="AA47" s="219">
        <f t="shared" si="4"/>
        <v>22</v>
      </c>
      <c r="AB47" s="43">
        <f t="shared" si="4"/>
        <v>7</v>
      </c>
      <c r="AC47" s="43">
        <f t="shared" si="4"/>
        <v>7</v>
      </c>
      <c r="AD47" s="43">
        <f t="shared" si="4"/>
        <v>8</v>
      </c>
    </row>
    <row r="48" spans="1:30" ht="12.75" hidden="1">
      <c r="A48" s="19"/>
      <c r="B48" s="143"/>
      <c r="C48" s="133"/>
      <c r="D48" s="133"/>
      <c r="E48" s="133"/>
      <c r="F48" s="133"/>
      <c r="G48" s="133"/>
      <c r="H48" s="133"/>
      <c r="I48" s="133"/>
      <c r="J48" s="133"/>
      <c r="K48" s="45"/>
      <c r="O48" s="214"/>
      <c r="P48" s="184"/>
      <c r="Q48" s="184"/>
      <c r="R48" s="184"/>
      <c r="S48" s="214"/>
      <c r="T48" s="184"/>
      <c r="U48" s="184"/>
      <c r="V48" s="184"/>
      <c r="W48" s="214"/>
      <c r="X48" s="184"/>
      <c r="Y48" s="184"/>
      <c r="Z48" s="184"/>
      <c r="AA48" s="214"/>
      <c r="AB48" s="184"/>
      <c r="AC48" s="184"/>
      <c r="AD48" s="184"/>
    </row>
    <row r="49" spans="1:30" ht="12.75">
      <c r="A49" s="123" t="s">
        <v>64</v>
      </c>
      <c r="B49" s="114" t="s">
        <v>149</v>
      </c>
      <c r="C49" s="115" t="s">
        <v>14</v>
      </c>
      <c r="D49" s="115">
        <v>1</v>
      </c>
      <c r="E49" s="115">
        <v>11</v>
      </c>
      <c r="F49" s="115" t="s">
        <v>38</v>
      </c>
      <c r="G49" s="115" t="s">
        <v>14</v>
      </c>
      <c r="H49" s="115" t="s">
        <v>15</v>
      </c>
      <c r="I49" s="115" t="s">
        <v>16</v>
      </c>
      <c r="J49" s="115" t="s">
        <v>65</v>
      </c>
      <c r="K49" s="121">
        <f>K50</f>
        <v>49</v>
      </c>
      <c r="L49" s="121">
        <f>L50</f>
        <v>0</v>
      </c>
      <c r="M49" s="121">
        <f>M50</f>
        <v>0</v>
      </c>
      <c r="N49" s="121">
        <f>N50</f>
        <v>0</v>
      </c>
      <c r="O49" s="222">
        <f>O50</f>
        <v>12</v>
      </c>
      <c r="P49" s="121">
        <f aca="true" t="shared" si="5" ref="P49:AD49">P50</f>
        <v>4</v>
      </c>
      <c r="Q49" s="121">
        <f t="shared" si="5"/>
        <v>4</v>
      </c>
      <c r="R49" s="121">
        <f t="shared" si="5"/>
        <v>4</v>
      </c>
      <c r="S49" s="222">
        <f t="shared" si="5"/>
        <v>13</v>
      </c>
      <c r="T49" s="121">
        <f t="shared" si="5"/>
        <v>4</v>
      </c>
      <c r="U49" s="121">
        <f t="shared" si="5"/>
        <v>4</v>
      </c>
      <c r="V49" s="121">
        <f t="shared" si="5"/>
        <v>5</v>
      </c>
      <c r="W49" s="222">
        <f t="shared" si="5"/>
        <v>12</v>
      </c>
      <c r="X49" s="121">
        <f t="shared" si="5"/>
        <v>4</v>
      </c>
      <c r="Y49" s="121">
        <f t="shared" si="5"/>
        <v>4</v>
      </c>
      <c r="Z49" s="121">
        <f t="shared" si="5"/>
        <v>4</v>
      </c>
      <c r="AA49" s="222">
        <f t="shared" si="5"/>
        <v>12</v>
      </c>
      <c r="AB49" s="121">
        <f t="shared" si="5"/>
        <v>4</v>
      </c>
      <c r="AC49" s="121">
        <f t="shared" si="5"/>
        <v>4</v>
      </c>
      <c r="AD49" s="121">
        <f t="shared" si="5"/>
        <v>4</v>
      </c>
    </row>
    <row r="50" spans="1:30" ht="24">
      <c r="A50" s="110"/>
      <c r="B50" s="112" t="s">
        <v>155</v>
      </c>
      <c r="C50" s="117" t="s">
        <v>66</v>
      </c>
      <c r="D50" s="117" t="s">
        <v>19</v>
      </c>
      <c r="E50" s="117" t="s">
        <v>63</v>
      </c>
      <c r="F50" s="117" t="s">
        <v>38</v>
      </c>
      <c r="G50" s="117" t="s">
        <v>14</v>
      </c>
      <c r="H50" s="117" t="s">
        <v>112</v>
      </c>
      <c r="I50" s="117" t="s">
        <v>16</v>
      </c>
      <c r="J50" s="117" t="s">
        <v>65</v>
      </c>
      <c r="K50" s="144">
        <v>49</v>
      </c>
      <c r="O50" s="214">
        <v>12</v>
      </c>
      <c r="P50" s="184">
        <v>4</v>
      </c>
      <c r="Q50" s="184">
        <v>4</v>
      </c>
      <c r="R50" s="184">
        <v>4</v>
      </c>
      <c r="S50" s="214">
        <v>13</v>
      </c>
      <c r="T50" s="184">
        <v>4</v>
      </c>
      <c r="U50" s="184">
        <v>4</v>
      </c>
      <c r="V50" s="184">
        <v>5</v>
      </c>
      <c r="W50" s="214">
        <v>12</v>
      </c>
      <c r="X50" s="184">
        <v>4</v>
      </c>
      <c r="Y50" s="184">
        <v>4</v>
      </c>
      <c r="Z50" s="184">
        <v>4</v>
      </c>
      <c r="AA50" s="214">
        <v>12</v>
      </c>
      <c r="AB50" s="184">
        <v>4</v>
      </c>
      <c r="AC50" s="184">
        <v>4</v>
      </c>
      <c r="AD50" s="184">
        <v>4</v>
      </c>
    </row>
    <row r="51" spans="1:30" ht="12.75" hidden="1">
      <c r="A51" s="16"/>
      <c r="B51" s="112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4"/>
      <c r="P51" s="184"/>
      <c r="Q51" s="184"/>
      <c r="R51" s="184"/>
      <c r="S51" s="214"/>
      <c r="T51" s="184"/>
      <c r="U51" s="184"/>
      <c r="V51" s="184"/>
      <c r="W51" s="214"/>
      <c r="X51" s="184"/>
      <c r="Y51" s="184"/>
      <c r="Z51" s="184"/>
      <c r="AA51" s="214"/>
      <c r="AB51" s="184"/>
      <c r="AC51" s="184"/>
      <c r="AD51" s="184"/>
    </row>
    <row r="52" spans="1:30" ht="12.75" hidden="1">
      <c r="A52" s="16"/>
      <c r="B52" s="112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4"/>
      <c r="P52" s="184"/>
      <c r="Q52" s="184"/>
      <c r="R52" s="184"/>
      <c r="S52" s="214"/>
      <c r="T52" s="184"/>
      <c r="U52" s="184"/>
      <c r="V52" s="184"/>
      <c r="W52" s="214"/>
      <c r="X52" s="184"/>
      <c r="Y52" s="184"/>
      <c r="Z52" s="184"/>
      <c r="AA52" s="214"/>
      <c r="AB52" s="184"/>
      <c r="AC52" s="184"/>
      <c r="AD52" s="184"/>
    </row>
    <row r="53" spans="1:30" ht="24">
      <c r="A53" s="123" t="s">
        <v>157</v>
      </c>
      <c r="B53" s="122" t="s">
        <v>154</v>
      </c>
      <c r="C53" s="115" t="s">
        <v>66</v>
      </c>
      <c r="D53" s="115" t="s">
        <v>19</v>
      </c>
      <c r="E53" s="115" t="s">
        <v>63</v>
      </c>
      <c r="F53" s="115" t="s">
        <v>52</v>
      </c>
      <c r="G53" s="115" t="s">
        <v>14</v>
      </c>
      <c r="H53" s="115" t="s">
        <v>15</v>
      </c>
      <c r="I53" s="115" t="s">
        <v>16</v>
      </c>
      <c r="J53" s="115" t="s">
        <v>65</v>
      </c>
      <c r="K53" s="121">
        <f>K54</f>
        <v>40</v>
      </c>
      <c r="L53" s="121">
        <f>L54</f>
        <v>0</v>
      </c>
      <c r="M53" s="121">
        <f>M54</f>
        <v>0</v>
      </c>
      <c r="N53" s="121">
        <f>N54</f>
        <v>0</v>
      </c>
      <c r="O53" s="222">
        <f>O54</f>
        <v>10</v>
      </c>
      <c r="P53" s="121">
        <f aca="true" t="shared" si="6" ref="P53:AD53">P54</f>
        <v>3</v>
      </c>
      <c r="Q53" s="121">
        <f t="shared" si="6"/>
        <v>3</v>
      </c>
      <c r="R53" s="121">
        <f t="shared" si="6"/>
        <v>4</v>
      </c>
      <c r="S53" s="222">
        <f t="shared" si="6"/>
        <v>10</v>
      </c>
      <c r="T53" s="121">
        <f t="shared" si="6"/>
        <v>3</v>
      </c>
      <c r="U53" s="121">
        <f t="shared" si="6"/>
        <v>3</v>
      </c>
      <c r="V53" s="121">
        <f t="shared" si="6"/>
        <v>4</v>
      </c>
      <c r="W53" s="222">
        <f t="shared" si="6"/>
        <v>10</v>
      </c>
      <c r="X53" s="121">
        <f t="shared" si="6"/>
        <v>3</v>
      </c>
      <c r="Y53" s="121">
        <f t="shared" si="6"/>
        <v>3</v>
      </c>
      <c r="Z53" s="121">
        <f t="shared" si="6"/>
        <v>4</v>
      </c>
      <c r="AA53" s="222">
        <f t="shared" si="6"/>
        <v>10</v>
      </c>
      <c r="AB53" s="121">
        <f t="shared" si="6"/>
        <v>3</v>
      </c>
      <c r="AC53" s="121">
        <f t="shared" si="6"/>
        <v>3</v>
      </c>
      <c r="AD53" s="121">
        <f t="shared" si="6"/>
        <v>4</v>
      </c>
    </row>
    <row r="54" spans="1:30" ht="24.75" thickBot="1">
      <c r="A54" s="24"/>
      <c r="B54" s="113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0">
        <v>40</v>
      </c>
      <c r="O54" s="214">
        <v>10</v>
      </c>
      <c r="P54" s="184">
        <v>3</v>
      </c>
      <c r="Q54" s="184">
        <v>3</v>
      </c>
      <c r="R54" s="184">
        <v>4</v>
      </c>
      <c r="S54" s="214">
        <v>10</v>
      </c>
      <c r="T54" s="184">
        <v>3</v>
      </c>
      <c r="U54" s="184">
        <v>3</v>
      </c>
      <c r="V54" s="184">
        <v>4</v>
      </c>
      <c r="W54" s="214">
        <v>10</v>
      </c>
      <c r="X54" s="184">
        <v>3</v>
      </c>
      <c r="Y54" s="184">
        <v>3</v>
      </c>
      <c r="Z54" s="184">
        <v>4</v>
      </c>
      <c r="AA54" s="214">
        <v>10</v>
      </c>
      <c r="AB54" s="184">
        <v>3</v>
      </c>
      <c r="AC54" s="184">
        <v>3</v>
      </c>
      <c r="AD54" s="184">
        <v>4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19">
        <f>O56+O57</f>
        <v>0</v>
      </c>
      <c r="P55" s="43"/>
      <c r="Q55" s="43"/>
      <c r="R55" s="43"/>
      <c r="S55" s="219">
        <f>S56+S57</f>
        <v>0</v>
      </c>
      <c r="T55" s="43"/>
      <c r="U55" s="43"/>
      <c r="V55" s="43"/>
      <c r="W55" s="219">
        <f>W56+W57</f>
        <v>0</v>
      </c>
      <c r="X55" s="43"/>
      <c r="Y55" s="43"/>
      <c r="Z55" s="43"/>
      <c r="AA55" s="219">
        <f>AA56+AA57</f>
        <v>0</v>
      </c>
      <c r="AB55" s="43"/>
      <c r="AC55" s="43"/>
      <c r="AD55" s="43"/>
    </row>
    <row r="56" spans="1:30" ht="13.5" hidden="1" thickBot="1">
      <c r="A56" s="123" t="s">
        <v>71</v>
      </c>
      <c r="B56" s="114" t="s">
        <v>72</v>
      </c>
      <c r="C56" s="115" t="s">
        <v>156</v>
      </c>
      <c r="D56" s="115" t="s">
        <v>19</v>
      </c>
      <c r="E56" s="115" t="s">
        <v>70</v>
      </c>
      <c r="F56" s="115" t="s">
        <v>20</v>
      </c>
      <c r="G56" s="115" t="s">
        <v>14</v>
      </c>
      <c r="H56" s="115" t="s">
        <v>20</v>
      </c>
      <c r="I56" s="115" t="s">
        <v>16</v>
      </c>
      <c r="J56" s="115" t="s">
        <v>65</v>
      </c>
      <c r="K56" s="47">
        <v>0</v>
      </c>
      <c r="O56" s="214"/>
      <c r="P56" s="184"/>
      <c r="Q56" s="184"/>
      <c r="R56" s="184"/>
      <c r="S56" s="214"/>
      <c r="T56" s="184"/>
      <c r="U56" s="184"/>
      <c r="V56" s="184"/>
      <c r="W56" s="214"/>
      <c r="X56" s="184"/>
      <c r="Y56" s="184"/>
      <c r="Z56" s="184"/>
      <c r="AA56" s="214"/>
      <c r="AB56" s="184"/>
      <c r="AC56" s="184"/>
      <c r="AD56" s="184"/>
    </row>
    <row r="57" spans="1:30" ht="13.5" hidden="1" thickBot="1">
      <c r="A57" s="123" t="s">
        <v>73</v>
      </c>
      <c r="B57" s="114" t="s">
        <v>74</v>
      </c>
      <c r="C57" s="115" t="s">
        <v>14</v>
      </c>
      <c r="D57" s="115" t="s">
        <v>19</v>
      </c>
      <c r="E57" s="115" t="s">
        <v>70</v>
      </c>
      <c r="F57" s="115" t="s">
        <v>77</v>
      </c>
      <c r="G57" s="115" t="s">
        <v>14</v>
      </c>
      <c r="H57" s="115" t="s">
        <v>15</v>
      </c>
      <c r="I57" s="115" t="s">
        <v>16</v>
      </c>
      <c r="J57" s="115" t="s">
        <v>65</v>
      </c>
      <c r="K57" s="47">
        <f>K58+K59+K60</f>
        <v>0</v>
      </c>
      <c r="O57" s="214"/>
      <c r="P57" s="184"/>
      <c r="Q57" s="184"/>
      <c r="R57" s="184"/>
      <c r="S57" s="214"/>
      <c r="T57" s="184"/>
      <c r="U57" s="184"/>
      <c r="V57" s="184"/>
      <c r="W57" s="214"/>
      <c r="X57" s="184"/>
      <c r="Y57" s="184"/>
      <c r="Z57" s="184"/>
      <c r="AA57" s="214"/>
      <c r="AB57" s="184"/>
      <c r="AC57" s="184"/>
      <c r="AD57" s="184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4"/>
      <c r="P58" s="184"/>
      <c r="Q58" s="184"/>
      <c r="R58" s="184"/>
      <c r="S58" s="214"/>
      <c r="T58" s="184"/>
      <c r="U58" s="184"/>
      <c r="V58" s="184"/>
      <c r="W58" s="214"/>
      <c r="X58" s="184"/>
      <c r="Y58" s="184"/>
      <c r="Z58" s="184"/>
      <c r="AA58" s="214"/>
      <c r="AB58" s="184"/>
      <c r="AC58" s="184"/>
      <c r="AD58" s="184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4"/>
      <c r="P59" s="184"/>
      <c r="Q59" s="184"/>
      <c r="R59" s="184"/>
      <c r="S59" s="214"/>
      <c r="T59" s="184"/>
      <c r="U59" s="184"/>
      <c r="V59" s="184"/>
      <c r="W59" s="214"/>
      <c r="X59" s="184"/>
      <c r="Y59" s="184"/>
      <c r="Z59" s="184"/>
      <c r="AA59" s="214"/>
      <c r="AB59" s="184"/>
      <c r="AC59" s="184"/>
      <c r="AD59" s="184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4"/>
      <c r="P60" s="184"/>
      <c r="Q60" s="184"/>
      <c r="R60" s="184"/>
      <c r="S60" s="214"/>
      <c r="T60" s="184"/>
      <c r="U60" s="184"/>
      <c r="V60" s="184"/>
      <c r="W60" s="214"/>
      <c r="X60" s="184"/>
      <c r="Y60" s="184"/>
      <c r="Z60" s="184"/>
      <c r="AA60" s="214"/>
      <c r="AB60" s="184"/>
      <c r="AC60" s="184"/>
      <c r="AD60" s="184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4">
        <f>O62</f>
        <v>0</v>
      </c>
      <c r="P61" s="68"/>
      <c r="Q61" s="68"/>
      <c r="R61" s="68"/>
      <c r="S61" s="224">
        <f>S62</f>
        <v>0</v>
      </c>
      <c r="T61" s="68"/>
      <c r="U61" s="68"/>
      <c r="V61" s="68"/>
      <c r="W61" s="224">
        <f>W62</f>
        <v>0</v>
      </c>
      <c r="X61" s="68"/>
      <c r="Y61" s="68"/>
      <c r="Z61" s="68"/>
      <c r="AA61" s="224">
        <f>AA62</f>
        <v>0</v>
      </c>
      <c r="AB61" s="68"/>
      <c r="AC61" s="68"/>
      <c r="AD61" s="68"/>
    </row>
    <row r="62" spans="1:30" ht="24.75" hidden="1" thickBot="1">
      <c r="A62" s="126" t="s">
        <v>115</v>
      </c>
      <c r="B62" s="128" t="s">
        <v>116</v>
      </c>
      <c r="C62" s="129" t="s">
        <v>14</v>
      </c>
      <c r="D62" s="129" t="s">
        <v>19</v>
      </c>
      <c r="E62" s="129" t="s">
        <v>114</v>
      </c>
      <c r="F62" s="129" t="s">
        <v>23</v>
      </c>
      <c r="G62" s="129" t="s">
        <v>14</v>
      </c>
      <c r="H62" s="129" t="s">
        <v>15</v>
      </c>
      <c r="I62" s="129" t="s">
        <v>16</v>
      </c>
      <c r="J62" s="129" t="s">
        <v>14</v>
      </c>
      <c r="K62" s="68">
        <f>K63</f>
        <v>0</v>
      </c>
      <c r="O62" s="214"/>
      <c r="P62" s="184"/>
      <c r="Q62" s="184"/>
      <c r="R62" s="184"/>
      <c r="S62" s="214"/>
      <c r="T62" s="184"/>
      <c r="U62" s="184"/>
      <c r="V62" s="184"/>
      <c r="W62" s="214"/>
      <c r="X62" s="184"/>
      <c r="Y62" s="184"/>
      <c r="Z62" s="184"/>
      <c r="AA62" s="214"/>
      <c r="AB62" s="184"/>
      <c r="AC62" s="184"/>
      <c r="AD62" s="184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4"/>
      <c r="P63" s="184"/>
      <c r="Q63" s="184"/>
      <c r="R63" s="184"/>
      <c r="S63" s="214"/>
      <c r="T63" s="184"/>
      <c r="U63" s="184"/>
      <c r="V63" s="184"/>
      <c r="W63" s="214"/>
      <c r="X63" s="184"/>
      <c r="Y63" s="184"/>
      <c r="Z63" s="184"/>
      <c r="AA63" s="214"/>
      <c r="AB63" s="184"/>
      <c r="AC63" s="184"/>
      <c r="AD63" s="184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4"/>
      <c r="P64" s="184"/>
      <c r="Q64" s="184"/>
      <c r="R64" s="184"/>
      <c r="S64" s="214"/>
      <c r="T64" s="184"/>
      <c r="U64" s="184"/>
      <c r="V64" s="184"/>
      <c r="W64" s="214"/>
      <c r="X64" s="184"/>
      <c r="Y64" s="184"/>
      <c r="Z64" s="184"/>
      <c r="AA64" s="214"/>
      <c r="AB64" s="184"/>
      <c r="AC64" s="184"/>
      <c r="AD64" s="184"/>
    </row>
    <row r="65" spans="1:30" ht="13.5" hidden="1" thickBot="1">
      <c r="A65" s="29" t="s">
        <v>112</v>
      </c>
      <c r="B65" s="132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4"/>
      <c r="P65" s="184"/>
      <c r="Q65" s="184"/>
      <c r="R65" s="184"/>
      <c r="S65" s="214"/>
      <c r="T65" s="184"/>
      <c r="U65" s="184"/>
      <c r="V65" s="184"/>
      <c r="W65" s="214"/>
      <c r="X65" s="184"/>
      <c r="Y65" s="184"/>
      <c r="Z65" s="184"/>
      <c r="AA65" s="214"/>
      <c r="AB65" s="184"/>
      <c r="AC65" s="184"/>
      <c r="AD65" s="184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774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19">
        <f>O68+O71+O72+O83+O90+O91</f>
        <v>193</v>
      </c>
      <c r="P66" s="43">
        <f aca="true" t="shared" si="7" ref="P66:AD66">P68+P71+P72+P83+P90+P91</f>
        <v>64</v>
      </c>
      <c r="Q66" s="43">
        <f t="shared" si="7"/>
        <v>64</v>
      </c>
      <c r="R66" s="43">
        <f t="shared" si="7"/>
        <v>65</v>
      </c>
      <c r="S66" s="219">
        <f t="shared" si="7"/>
        <v>194</v>
      </c>
      <c r="T66" s="43">
        <f t="shared" si="7"/>
        <v>65</v>
      </c>
      <c r="U66" s="43">
        <f t="shared" si="7"/>
        <v>64</v>
      </c>
      <c r="V66" s="43">
        <f t="shared" si="7"/>
        <v>65</v>
      </c>
      <c r="W66" s="219">
        <f t="shared" si="7"/>
        <v>194</v>
      </c>
      <c r="X66" s="43">
        <f t="shared" si="7"/>
        <v>64</v>
      </c>
      <c r="Y66" s="43">
        <f t="shared" si="7"/>
        <v>65</v>
      </c>
      <c r="Z66" s="43">
        <f t="shared" si="7"/>
        <v>65</v>
      </c>
      <c r="AA66" s="219">
        <f t="shared" si="7"/>
        <v>193</v>
      </c>
      <c r="AB66" s="43">
        <f t="shared" si="7"/>
        <v>64</v>
      </c>
      <c r="AC66" s="43">
        <f t="shared" si="7"/>
        <v>64</v>
      </c>
      <c r="AD66" s="43">
        <f t="shared" si="7"/>
        <v>65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4"/>
      <c r="P67" s="184"/>
      <c r="Q67" s="184"/>
      <c r="R67" s="184"/>
      <c r="S67" s="214"/>
      <c r="T67" s="184"/>
      <c r="U67" s="184"/>
      <c r="V67" s="184"/>
      <c r="W67" s="214"/>
      <c r="X67" s="184"/>
      <c r="Y67" s="184"/>
      <c r="Z67" s="184"/>
      <c r="AA67" s="214"/>
      <c r="AB67" s="184"/>
      <c r="AC67" s="184"/>
      <c r="AD67" s="184"/>
    </row>
    <row r="68" spans="1:30" ht="12.75">
      <c r="A68" s="109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757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6">
        <f>O69+O70+O71</f>
        <v>189</v>
      </c>
      <c r="P68" s="45">
        <f aca="true" t="shared" si="8" ref="P68:AD68">P69+P70+P71</f>
        <v>63</v>
      </c>
      <c r="Q68" s="45">
        <f t="shared" si="8"/>
        <v>63</v>
      </c>
      <c r="R68" s="45">
        <f t="shared" si="8"/>
        <v>63</v>
      </c>
      <c r="S68" s="216">
        <f t="shared" si="8"/>
        <v>190</v>
      </c>
      <c r="T68" s="45">
        <f t="shared" si="8"/>
        <v>63</v>
      </c>
      <c r="U68" s="45">
        <f t="shared" si="8"/>
        <v>63</v>
      </c>
      <c r="V68" s="45">
        <f t="shared" si="8"/>
        <v>64</v>
      </c>
      <c r="W68" s="216">
        <f t="shared" si="8"/>
        <v>189</v>
      </c>
      <c r="X68" s="45">
        <f t="shared" si="8"/>
        <v>63</v>
      </c>
      <c r="Y68" s="45">
        <f t="shared" si="8"/>
        <v>63</v>
      </c>
      <c r="Z68" s="45">
        <f t="shared" si="8"/>
        <v>63</v>
      </c>
      <c r="AA68" s="216">
        <f t="shared" si="8"/>
        <v>189</v>
      </c>
      <c r="AB68" s="45">
        <f t="shared" si="8"/>
        <v>63</v>
      </c>
      <c r="AC68" s="45">
        <f t="shared" si="8"/>
        <v>63</v>
      </c>
      <c r="AD68" s="45">
        <f t="shared" si="8"/>
        <v>63</v>
      </c>
    </row>
    <row r="69" spans="1:30" ht="12.75">
      <c r="A69" s="110" t="s">
        <v>102</v>
      </c>
      <c r="B69" s="135" t="s">
        <v>160</v>
      </c>
      <c r="C69" s="117" t="s">
        <v>14</v>
      </c>
      <c r="D69" s="117" t="s">
        <v>89</v>
      </c>
      <c r="E69" s="117" t="s">
        <v>23</v>
      </c>
      <c r="F69" s="117" t="s">
        <v>20</v>
      </c>
      <c r="G69" s="117" t="s">
        <v>27</v>
      </c>
      <c r="H69" s="117" t="s">
        <v>112</v>
      </c>
      <c r="I69" s="117" t="s">
        <v>16</v>
      </c>
      <c r="J69" s="117" t="s">
        <v>91</v>
      </c>
      <c r="K69" s="144">
        <v>757</v>
      </c>
      <c r="O69" s="214">
        <v>189</v>
      </c>
      <c r="P69" s="184">
        <v>63</v>
      </c>
      <c r="Q69" s="184">
        <v>63</v>
      </c>
      <c r="R69" s="184">
        <v>63</v>
      </c>
      <c r="S69" s="214">
        <v>190</v>
      </c>
      <c r="T69" s="184">
        <v>63</v>
      </c>
      <c r="U69" s="184">
        <v>63</v>
      </c>
      <c r="V69" s="184">
        <v>64</v>
      </c>
      <c r="W69" s="214">
        <v>189</v>
      </c>
      <c r="X69" s="184">
        <v>63</v>
      </c>
      <c r="Y69" s="184">
        <v>63</v>
      </c>
      <c r="Z69" s="184">
        <v>63</v>
      </c>
      <c r="AA69" s="214">
        <v>189</v>
      </c>
      <c r="AB69" s="184">
        <v>63</v>
      </c>
      <c r="AC69" s="184">
        <v>63</v>
      </c>
      <c r="AD69" s="184">
        <v>63</v>
      </c>
    </row>
    <row r="70" spans="1:30" ht="24">
      <c r="A70" s="110" t="s">
        <v>162</v>
      </c>
      <c r="B70" s="135" t="s">
        <v>145</v>
      </c>
      <c r="C70" s="117" t="s">
        <v>14</v>
      </c>
      <c r="D70" s="117" t="s">
        <v>89</v>
      </c>
      <c r="E70" s="117" t="s">
        <v>23</v>
      </c>
      <c r="F70" s="117" t="s">
        <v>20</v>
      </c>
      <c r="G70" s="117" t="s">
        <v>27</v>
      </c>
      <c r="H70" s="117" t="s">
        <v>38</v>
      </c>
      <c r="I70" s="117" t="s">
        <v>16</v>
      </c>
      <c r="J70" s="117" t="s">
        <v>91</v>
      </c>
      <c r="K70" s="45"/>
      <c r="O70" s="214"/>
      <c r="P70" s="184"/>
      <c r="Q70" s="184"/>
      <c r="R70" s="184"/>
      <c r="S70" s="214"/>
      <c r="T70" s="184"/>
      <c r="U70" s="184"/>
      <c r="V70" s="184"/>
      <c r="W70" s="214"/>
      <c r="X70" s="184"/>
      <c r="Y70" s="184"/>
      <c r="Z70" s="184"/>
      <c r="AA70" s="214"/>
      <c r="AB70" s="184"/>
      <c r="AC70" s="184"/>
      <c r="AD70" s="184"/>
    </row>
    <row r="71" spans="1:30" ht="24">
      <c r="A71" s="110" t="s">
        <v>164</v>
      </c>
      <c r="B71" s="135" t="s">
        <v>163</v>
      </c>
      <c r="C71" s="117" t="s">
        <v>14</v>
      </c>
      <c r="D71" s="117" t="s">
        <v>89</v>
      </c>
      <c r="E71" s="117" t="s">
        <v>23</v>
      </c>
      <c r="F71" s="117" t="s">
        <v>20</v>
      </c>
      <c r="G71" s="117" t="s">
        <v>92</v>
      </c>
      <c r="H71" s="117" t="s">
        <v>42</v>
      </c>
      <c r="I71" s="117" t="s">
        <v>16</v>
      </c>
      <c r="J71" s="117" t="s">
        <v>91</v>
      </c>
      <c r="K71" s="45"/>
      <c r="O71" s="214"/>
      <c r="P71" s="184"/>
      <c r="Q71" s="184"/>
      <c r="R71" s="184"/>
      <c r="S71" s="214"/>
      <c r="T71" s="184"/>
      <c r="U71" s="184"/>
      <c r="V71" s="184"/>
      <c r="W71" s="214"/>
      <c r="X71" s="184"/>
      <c r="Y71" s="184"/>
      <c r="Z71" s="184"/>
      <c r="AA71" s="214"/>
      <c r="AB71" s="184"/>
      <c r="AC71" s="184"/>
      <c r="AD71" s="184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6">
        <f>O73+O74+O75+O76+O77+O78+O79+O80+O81</f>
        <v>0</v>
      </c>
      <c r="P72" s="45"/>
      <c r="Q72" s="45"/>
      <c r="R72" s="45"/>
      <c r="S72" s="216">
        <f>S73+S74+S75+S76+S77+S78+S79+S80+S81</f>
        <v>0</v>
      </c>
      <c r="T72" s="45"/>
      <c r="U72" s="45"/>
      <c r="V72" s="45"/>
      <c r="W72" s="216">
        <f>W73+W74+W75+W76+W77+W78+W79+W80+W81</f>
        <v>0</v>
      </c>
      <c r="X72" s="45"/>
      <c r="Y72" s="45"/>
      <c r="Z72" s="45"/>
      <c r="AA72" s="216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4"/>
      <c r="P73" s="184"/>
      <c r="Q73" s="184"/>
      <c r="R73" s="184"/>
      <c r="S73" s="214"/>
      <c r="T73" s="184"/>
      <c r="U73" s="184"/>
      <c r="V73" s="184"/>
      <c r="W73" s="214"/>
      <c r="X73" s="184"/>
      <c r="Y73" s="184"/>
      <c r="Z73" s="184"/>
      <c r="AA73" s="214"/>
      <c r="AB73" s="184"/>
      <c r="AC73" s="184"/>
      <c r="AD73" s="184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4"/>
      <c r="P74" s="184"/>
      <c r="Q74" s="184"/>
      <c r="R74" s="184"/>
      <c r="S74" s="214"/>
      <c r="T74" s="184"/>
      <c r="U74" s="184"/>
      <c r="V74" s="184"/>
      <c r="W74" s="214"/>
      <c r="X74" s="184"/>
      <c r="Y74" s="184"/>
      <c r="Z74" s="184"/>
      <c r="AA74" s="214"/>
      <c r="AB74" s="184"/>
      <c r="AC74" s="184"/>
      <c r="AD74" s="184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4"/>
      <c r="P75" s="184"/>
      <c r="Q75" s="184"/>
      <c r="R75" s="184"/>
      <c r="S75" s="214"/>
      <c r="T75" s="184"/>
      <c r="U75" s="184"/>
      <c r="V75" s="184"/>
      <c r="W75" s="214"/>
      <c r="X75" s="184"/>
      <c r="Y75" s="184"/>
      <c r="Z75" s="184"/>
      <c r="AA75" s="214"/>
      <c r="AB75" s="184"/>
      <c r="AC75" s="184"/>
      <c r="AD75" s="184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4"/>
      <c r="P76" s="184"/>
      <c r="Q76" s="184"/>
      <c r="R76" s="184"/>
      <c r="S76" s="214"/>
      <c r="T76" s="184"/>
      <c r="U76" s="184"/>
      <c r="V76" s="184"/>
      <c r="W76" s="214"/>
      <c r="X76" s="184"/>
      <c r="Y76" s="184"/>
      <c r="Z76" s="184"/>
      <c r="AA76" s="214"/>
      <c r="AB76" s="184"/>
      <c r="AC76" s="184"/>
      <c r="AD76" s="184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4"/>
      <c r="P77" s="184"/>
      <c r="Q77" s="184"/>
      <c r="R77" s="184"/>
      <c r="S77" s="214"/>
      <c r="T77" s="184"/>
      <c r="U77" s="184"/>
      <c r="V77" s="184"/>
      <c r="W77" s="214"/>
      <c r="X77" s="184"/>
      <c r="Y77" s="184"/>
      <c r="Z77" s="184"/>
      <c r="AA77" s="214"/>
      <c r="AB77" s="184"/>
      <c r="AC77" s="184"/>
      <c r="AD77" s="184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4"/>
      <c r="P78" s="184"/>
      <c r="Q78" s="184"/>
      <c r="R78" s="184"/>
      <c r="S78" s="214"/>
      <c r="T78" s="184"/>
      <c r="U78" s="184"/>
      <c r="V78" s="184"/>
      <c r="W78" s="214"/>
      <c r="X78" s="184"/>
      <c r="Y78" s="184"/>
      <c r="Z78" s="184"/>
      <c r="AA78" s="214"/>
      <c r="AB78" s="184"/>
      <c r="AC78" s="184"/>
      <c r="AD78" s="184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4"/>
      <c r="P79" s="184"/>
      <c r="Q79" s="184"/>
      <c r="R79" s="184"/>
      <c r="S79" s="214"/>
      <c r="T79" s="184"/>
      <c r="U79" s="184"/>
      <c r="V79" s="184"/>
      <c r="W79" s="214"/>
      <c r="X79" s="184"/>
      <c r="Y79" s="184"/>
      <c r="Z79" s="184"/>
      <c r="AA79" s="214"/>
      <c r="AB79" s="184"/>
      <c r="AC79" s="184"/>
      <c r="AD79" s="184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4"/>
      <c r="P80" s="184"/>
      <c r="Q80" s="184"/>
      <c r="R80" s="184"/>
      <c r="S80" s="214"/>
      <c r="T80" s="184"/>
      <c r="U80" s="184"/>
      <c r="V80" s="184"/>
      <c r="W80" s="214"/>
      <c r="X80" s="184"/>
      <c r="Y80" s="184"/>
      <c r="Z80" s="184"/>
      <c r="AA80" s="214"/>
      <c r="AB80" s="184"/>
      <c r="AC80" s="184"/>
      <c r="AD80" s="184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4"/>
      <c r="P81" s="184"/>
      <c r="Q81" s="184"/>
      <c r="R81" s="184"/>
      <c r="S81" s="214"/>
      <c r="T81" s="184"/>
      <c r="U81" s="184"/>
      <c r="V81" s="184"/>
      <c r="W81" s="214"/>
      <c r="X81" s="184"/>
      <c r="Y81" s="184"/>
      <c r="Z81" s="184"/>
      <c r="AA81" s="214"/>
      <c r="AB81" s="184"/>
      <c r="AC81" s="184"/>
      <c r="AD81" s="184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4"/>
      <c r="P82" s="184"/>
      <c r="Q82" s="184"/>
      <c r="R82" s="184"/>
      <c r="S82" s="214"/>
      <c r="T82" s="184"/>
      <c r="U82" s="184"/>
      <c r="V82" s="184"/>
      <c r="W82" s="214"/>
      <c r="X82" s="184"/>
      <c r="Y82" s="184"/>
      <c r="Z82" s="184"/>
      <c r="AA82" s="214"/>
      <c r="AB82" s="184"/>
      <c r="AC82" s="184"/>
      <c r="AD82" s="184"/>
    </row>
    <row r="83" spans="1:30" ht="12.75">
      <c r="A83" s="26" t="s">
        <v>44</v>
      </c>
      <c r="B83" s="105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6">
        <f>O85+O86+O87+O88+O89</f>
        <v>0</v>
      </c>
      <c r="P83" s="45"/>
      <c r="Q83" s="45"/>
      <c r="R83" s="45"/>
      <c r="S83" s="216">
        <f>S85+S86+S87+S88+S89</f>
        <v>0</v>
      </c>
      <c r="T83" s="45"/>
      <c r="U83" s="45"/>
      <c r="V83" s="45"/>
      <c r="W83" s="216">
        <f>W85+W86+W87+W88+W89</f>
        <v>0</v>
      </c>
      <c r="X83" s="45"/>
      <c r="Y83" s="45"/>
      <c r="Z83" s="45"/>
      <c r="AA83" s="216">
        <f>AA85+AA86+AA87+AA88+AA89</f>
        <v>0</v>
      </c>
      <c r="AB83" s="45"/>
      <c r="AC83" s="45"/>
      <c r="AD83" s="45"/>
    </row>
    <row r="84" spans="1:30" ht="12.75">
      <c r="A84" s="26"/>
      <c r="B84" s="105"/>
      <c r="C84" s="69"/>
      <c r="D84" s="69"/>
      <c r="E84" s="69"/>
      <c r="F84" s="69"/>
      <c r="G84" s="69"/>
      <c r="H84" s="69"/>
      <c r="I84" s="69"/>
      <c r="J84" s="69"/>
      <c r="K84" s="45"/>
      <c r="L84" s="268"/>
      <c r="M84" s="268"/>
      <c r="N84" s="268"/>
      <c r="O84" s="245"/>
      <c r="P84" s="189"/>
      <c r="Q84" s="189"/>
      <c r="R84" s="189"/>
      <c r="S84" s="245"/>
      <c r="T84" s="189"/>
      <c r="U84" s="189"/>
      <c r="V84" s="189"/>
      <c r="W84" s="245"/>
      <c r="X84" s="189"/>
      <c r="Y84" s="189"/>
      <c r="Z84" s="189"/>
      <c r="AA84" s="245"/>
      <c r="AB84" s="189"/>
      <c r="AC84" s="189"/>
      <c r="AD84" s="189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4"/>
      <c r="P85" s="184"/>
      <c r="Q85" s="184"/>
      <c r="R85" s="184"/>
      <c r="S85" s="214"/>
      <c r="T85" s="184"/>
      <c r="U85" s="184"/>
      <c r="V85" s="184"/>
      <c r="W85" s="214"/>
      <c r="X85" s="184"/>
      <c r="Y85" s="184"/>
      <c r="Z85" s="184"/>
      <c r="AA85" s="214"/>
      <c r="AB85" s="184"/>
      <c r="AC85" s="184"/>
      <c r="AD85" s="184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4"/>
      <c r="P86" s="184"/>
      <c r="Q86" s="184"/>
      <c r="R86" s="184"/>
      <c r="S86" s="214"/>
      <c r="T86" s="184"/>
      <c r="U86" s="184"/>
      <c r="V86" s="184"/>
      <c r="W86" s="214"/>
      <c r="X86" s="184"/>
      <c r="Y86" s="184"/>
      <c r="Z86" s="184"/>
      <c r="AA86" s="214"/>
      <c r="AB86" s="184"/>
      <c r="AC86" s="184"/>
      <c r="AD86" s="184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4"/>
      <c r="P87" s="184"/>
      <c r="Q87" s="184"/>
      <c r="R87" s="184"/>
      <c r="S87" s="214"/>
      <c r="T87" s="184"/>
      <c r="U87" s="184"/>
      <c r="V87" s="184"/>
      <c r="W87" s="214"/>
      <c r="X87" s="184"/>
      <c r="Y87" s="184"/>
      <c r="Z87" s="184"/>
      <c r="AA87" s="214"/>
      <c r="AB87" s="184"/>
      <c r="AC87" s="184"/>
      <c r="AD87" s="184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4"/>
      <c r="P88" s="184"/>
      <c r="Q88" s="184"/>
      <c r="R88" s="184"/>
      <c r="S88" s="214"/>
      <c r="T88" s="184"/>
      <c r="U88" s="184"/>
      <c r="V88" s="184"/>
      <c r="W88" s="214"/>
      <c r="X88" s="184"/>
      <c r="Y88" s="184"/>
      <c r="Z88" s="184"/>
      <c r="AA88" s="214"/>
      <c r="AB88" s="184"/>
      <c r="AC88" s="184"/>
      <c r="AD88" s="184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4"/>
      <c r="P89" s="184"/>
      <c r="Q89" s="184"/>
      <c r="R89" s="184"/>
      <c r="S89" s="214"/>
      <c r="T89" s="184"/>
      <c r="U89" s="184"/>
      <c r="V89" s="184"/>
      <c r="W89" s="214"/>
      <c r="X89" s="184"/>
      <c r="Y89" s="184"/>
      <c r="Z89" s="184"/>
      <c r="AA89" s="214"/>
      <c r="AB89" s="184"/>
      <c r="AC89" s="184"/>
      <c r="AD89" s="184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17</v>
      </c>
      <c r="O90" s="214">
        <v>4</v>
      </c>
      <c r="P90" s="184">
        <v>1</v>
      </c>
      <c r="Q90" s="184">
        <v>1</v>
      </c>
      <c r="R90" s="184">
        <v>2</v>
      </c>
      <c r="S90" s="214">
        <v>4</v>
      </c>
      <c r="T90" s="184">
        <v>2</v>
      </c>
      <c r="U90" s="184">
        <v>1</v>
      </c>
      <c r="V90" s="184">
        <v>1</v>
      </c>
      <c r="W90" s="214">
        <v>5</v>
      </c>
      <c r="X90" s="184">
        <v>1</v>
      </c>
      <c r="Y90" s="184">
        <v>2</v>
      </c>
      <c r="Z90" s="184">
        <v>2</v>
      </c>
      <c r="AA90" s="214">
        <v>4</v>
      </c>
      <c r="AB90" s="184">
        <v>1</v>
      </c>
      <c r="AC90" s="184">
        <v>1</v>
      </c>
      <c r="AD90" s="184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4"/>
      <c r="P91" s="184"/>
      <c r="Q91" s="184"/>
      <c r="R91" s="184"/>
      <c r="S91" s="214"/>
      <c r="T91" s="184"/>
      <c r="U91" s="184"/>
      <c r="V91" s="184"/>
      <c r="W91" s="214"/>
      <c r="X91" s="184"/>
      <c r="Y91" s="184"/>
      <c r="Z91" s="184"/>
      <c r="AA91" s="214"/>
      <c r="AB91" s="184"/>
      <c r="AC91" s="184"/>
      <c r="AD91" s="184"/>
    </row>
    <row r="92" spans="1:30" ht="25.5">
      <c r="A92" s="30" t="s">
        <v>98</v>
      </c>
      <c r="B92" s="136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84</v>
      </c>
      <c r="L92" s="43">
        <f>L93+L95</f>
        <v>0</v>
      </c>
      <c r="M92" s="43">
        <f>M93+M95</f>
        <v>0</v>
      </c>
      <c r="N92" s="43">
        <f>N93+N95</f>
        <v>0</v>
      </c>
      <c r="O92" s="219">
        <f>O93+O95</f>
        <v>20</v>
      </c>
      <c r="P92" s="43">
        <f aca="true" t="shared" si="9" ref="P92:AD92">P93+P95</f>
        <v>6</v>
      </c>
      <c r="Q92" s="43">
        <f t="shared" si="9"/>
        <v>6.5</v>
      </c>
      <c r="R92" s="43">
        <f t="shared" si="9"/>
        <v>7.5</v>
      </c>
      <c r="S92" s="219">
        <f t="shared" si="9"/>
        <v>21</v>
      </c>
      <c r="T92" s="43">
        <f t="shared" si="9"/>
        <v>6.5</v>
      </c>
      <c r="U92" s="43">
        <f t="shared" si="9"/>
        <v>7.5</v>
      </c>
      <c r="V92" s="43">
        <f t="shared" si="9"/>
        <v>7</v>
      </c>
      <c r="W92" s="219">
        <f t="shared" si="9"/>
        <v>21</v>
      </c>
      <c r="X92" s="43">
        <f t="shared" si="9"/>
        <v>6.5</v>
      </c>
      <c r="Y92" s="43">
        <f t="shared" si="9"/>
        <v>7.5</v>
      </c>
      <c r="Z92" s="43">
        <f t="shared" si="9"/>
        <v>7</v>
      </c>
      <c r="AA92" s="219">
        <f t="shared" si="9"/>
        <v>22</v>
      </c>
      <c r="AB92" s="43">
        <f t="shared" si="9"/>
        <v>6.5</v>
      </c>
      <c r="AC92" s="43">
        <f t="shared" si="9"/>
        <v>7.5</v>
      </c>
      <c r="AD92" s="43">
        <f t="shared" si="9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8">
        <f>K94</f>
        <v>79</v>
      </c>
      <c r="L93" s="108">
        <f>L94</f>
        <v>0</v>
      </c>
      <c r="M93" s="108">
        <f>M94</f>
        <v>0</v>
      </c>
      <c r="N93" s="108">
        <f>N94</f>
        <v>0</v>
      </c>
      <c r="O93" s="225">
        <f>O94</f>
        <v>19</v>
      </c>
      <c r="P93" s="108">
        <f aca="true" t="shared" si="10" ref="P93:AD93">P94</f>
        <v>6</v>
      </c>
      <c r="Q93" s="108">
        <f t="shared" si="10"/>
        <v>6</v>
      </c>
      <c r="R93" s="108">
        <f t="shared" si="10"/>
        <v>7</v>
      </c>
      <c r="S93" s="225">
        <f t="shared" si="10"/>
        <v>20</v>
      </c>
      <c r="T93" s="108">
        <f t="shared" si="10"/>
        <v>6</v>
      </c>
      <c r="U93" s="108">
        <f t="shared" si="10"/>
        <v>7</v>
      </c>
      <c r="V93" s="108">
        <f t="shared" si="10"/>
        <v>7</v>
      </c>
      <c r="W93" s="225">
        <f t="shared" si="10"/>
        <v>20</v>
      </c>
      <c r="X93" s="108">
        <f t="shared" si="10"/>
        <v>6</v>
      </c>
      <c r="Y93" s="108">
        <f t="shared" si="10"/>
        <v>7</v>
      </c>
      <c r="Z93" s="108">
        <f t="shared" si="10"/>
        <v>7</v>
      </c>
      <c r="AA93" s="225">
        <f t="shared" si="10"/>
        <v>20</v>
      </c>
      <c r="AB93" s="108">
        <f t="shared" si="10"/>
        <v>6</v>
      </c>
      <c r="AC93" s="108">
        <f t="shared" si="10"/>
        <v>7</v>
      </c>
      <c r="AD93" s="108">
        <f t="shared" si="10"/>
        <v>7</v>
      </c>
    </row>
    <row r="94" spans="1:30" ht="24">
      <c r="A94" s="25" t="s">
        <v>102</v>
      </c>
      <c r="B94" s="137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4">
        <v>79</v>
      </c>
      <c r="O94" s="214">
        <v>19</v>
      </c>
      <c r="P94" s="184">
        <v>6</v>
      </c>
      <c r="Q94" s="184">
        <v>6</v>
      </c>
      <c r="R94" s="184">
        <v>7</v>
      </c>
      <c r="S94" s="214">
        <v>20</v>
      </c>
      <c r="T94" s="184">
        <v>6</v>
      </c>
      <c r="U94" s="184">
        <v>7</v>
      </c>
      <c r="V94" s="184">
        <v>7</v>
      </c>
      <c r="W94" s="214">
        <v>20</v>
      </c>
      <c r="X94" s="184">
        <v>6</v>
      </c>
      <c r="Y94" s="184">
        <v>7</v>
      </c>
      <c r="Z94" s="184">
        <v>7</v>
      </c>
      <c r="AA94" s="214">
        <v>20</v>
      </c>
      <c r="AB94" s="184">
        <v>6</v>
      </c>
      <c r="AC94" s="184">
        <v>7</v>
      </c>
      <c r="AD94" s="184">
        <v>7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8">
        <f>K96</f>
        <v>5</v>
      </c>
      <c r="L95" s="108">
        <f>L96</f>
        <v>0</v>
      </c>
      <c r="M95" s="108">
        <f>M96</f>
        <v>0</v>
      </c>
      <c r="N95" s="108">
        <f>N96</f>
        <v>0</v>
      </c>
      <c r="O95" s="225">
        <f>O96</f>
        <v>1</v>
      </c>
      <c r="P95" s="108">
        <f aca="true" t="shared" si="11" ref="P95:AD95">P96</f>
        <v>0</v>
      </c>
      <c r="Q95" s="108">
        <f t="shared" si="11"/>
        <v>0.5</v>
      </c>
      <c r="R95" s="108">
        <f t="shared" si="11"/>
        <v>0.5</v>
      </c>
      <c r="S95" s="225">
        <f t="shared" si="11"/>
        <v>1</v>
      </c>
      <c r="T95" s="108">
        <f t="shared" si="11"/>
        <v>0.5</v>
      </c>
      <c r="U95" s="108">
        <f t="shared" si="11"/>
        <v>0.5</v>
      </c>
      <c r="V95" s="108">
        <f t="shared" si="11"/>
        <v>0</v>
      </c>
      <c r="W95" s="225">
        <f t="shared" si="11"/>
        <v>1</v>
      </c>
      <c r="X95" s="108">
        <f t="shared" si="11"/>
        <v>0.5</v>
      </c>
      <c r="Y95" s="108">
        <f t="shared" si="11"/>
        <v>0.5</v>
      </c>
      <c r="Z95" s="108">
        <f t="shared" si="11"/>
        <v>0</v>
      </c>
      <c r="AA95" s="225">
        <f t="shared" si="11"/>
        <v>2</v>
      </c>
      <c r="AB95" s="108">
        <f t="shared" si="11"/>
        <v>0.5</v>
      </c>
      <c r="AC95" s="108">
        <f t="shared" si="11"/>
        <v>0.5</v>
      </c>
      <c r="AD95" s="108">
        <f t="shared" si="11"/>
        <v>1</v>
      </c>
    </row>
    <row r="96" spans="1:30" ht="24.75" thickBot="1">
      <c r="A96" s="125" t="s">
        <v>39</v>
      </c>
      <c r="B96" s="138" t="s">
        <v>169</v>
      </c>
      <c r="C96" s="139" t="s">
        <v>14</v>
      </c>
      <c r="D96" s="139" t="s">
        <v>99</v>
      </c>
      <c r="E96" s="139" t="s">
        <v>42</v>
      </c>
      <c r="F96" s="139" t="s">
        <v>23</v>
      </c>
      <c r="G96" s="139" t="s">
        <v>159</v>
      </c>
      <c r="H96" s="139" t="s">
        <v>112</v>
      </c>
      <c r="I96" s="139" t="s">
        <v>16</v>
      </c>
      <c r="J96" s="139" t="s">
        <v>86</v>
      </c>
      <c r="K96" s="120">
        <v>5</v>
      </c>
      <c r="O96" s="214">
        <v>1</v>
      </c>
      <c r="P96" s="184"/>
      <c r="Q96" s="184">
        <v>0.5</v>
      </c>
      <c r="R96" s="184">
        <v>0.5</v>
      </c>
      <c r="S96" s="214">
        <v>1</v>
      </c>
      <c r="T96" s="184">
        <v>0.5</v>
      </c>
      <c r="U96" s="184">
        <v>0.5</v>
      </c>
      <c r="V96" s="184"/>
      <c r="W96" s="214">
        <v>1</v>
      </c>
      <c r="X96" s="184">
        <v>0.5</v>
      </c>
      <c r="Y96" s="184">
        <v>0.5</v>
      </c>
      <c r="Z96" s="184"/>
      <c r="AA96" s="214">
        <v>2</v>
      </c>
      <c r="AB96" s="184">
        <v>0.5</v>
      </c>
      <c r="AC96" s="184">
        <v>0.5</v>
      </c>
      <c r="AD96" s="184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1610</v>
      </c>
      <c r="L97" s="51">
        <f>L23+L66+L92</f>
        <v>0</v>
      </c>
      <c r="M97" s="51">
        <f>M23+M66+M92</f>
        <v>0</v>
      </c>
      <c r="N97" s="51">
        <f>N23+N66+N92</f>
        <v>0</v>
      </c>
      <c r="O97" s="226">
        <f>O23+O66+O92</f>
        <v>398</v>
      </c>
      <c r="P97" s="51">
        <f aca="true" t="shared" si="12" ref="P97:AD97">P23+P66+P92</f>
        <v>109</v>
      </c>
      <c r="Q97" s="51">
        <f t="shared" si="12"/>
        <v>142.5</v>
      </c>
      <c r="R97" s="51">
        <f t="shared" si="12"/>
        <v>146.5</v>
      </c>
      <c r="S97" s="226">
        <f t="shared" si="12"/>
        <v>402</v>
      </c>
      <c r="T97" s="51">
        <f t="shared" si="12"/>
        <v>132.5</v>
      </c>
      <c r="U97" s="51">
        <f t="shared" si="12"/>
        <v>132.5</v>
      </c>
      <c r="V97" s="51">
        <f t="shared" si="12"/>
        <v>137</v>
      </c>
      <c r="W97" s="226">
        <f t="shared" si="12"/>
        <v>405</v>
      </c>
      <c r="X97" s="51">
        <f t="shared" si="12"/>
        <v>131.5</v>
      </c>
      <c r="Y97" s="51">
        <f t="shared" si="12"/>
        <v>133.5</v>
      </c>
      <c r="Z97" s="51">
        <f t="shared" si="12"/>
        <v>140</v>
      </c>
      <c r="AA97" s="226">
        <f t="shared" si="12"/>
        <v>405</v>
      </c>
      <c r="AB97" s="51">
        <f t="shared" si="12"/>
        <v>132.5</v>
      </c>
      <c r="AC97" s="51">
        <f t="shared" si="12"/>
        <v>136.5</v>
      </c>
      <c r="AD97" s="51">
        <f t="shared" si="12"/>
        <v>136</v>
      </c>
    </row>
    <row r="98" spans="15:27" ht="12.75">
      <c r="O98" s="210">
        <f>SUM(P97:R97)</f>
        <v>398</v>
      </c>
      <c r="S98" s="210">
        <f>SUM(T97:V97)</f>
        <v>402</v>
      </c>
      <c r="W98" s="210">
        <f>SUM(X97:Z97)</f>
        <v>405</v>
      </c>
      <c r="AA98" s="210">
        <f>SUM(AB97:AD97)</f>
        <v>405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rfu3</cp:lastModifiedBy>
  <cp:lastPrinted>2010-12-13T05:07:52Z</cp:lastPrinted>
  <dcterms:created xsi:type="dcterms:W3CDTF">2005-07-11T04:44:43Z</dcterms:created>
  <dcterms:modified xsi:type="dcterms:W3CDTF">2010-12-24T11:29:22Z</dcterms:modified>
  <cp:category/>
  <cp:version/>
  <cp:contentType/>
  <cp:contentStatus/>
</cp:coreProperties>
</file>