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0" activeTab="10"/>
  </bookViews>
  <sheets>
    <sheet name="Олонецкое" sheetId="1" state="hidden" r:id="rId1"/>
    <sheet name="Туксинское" sheetId="2" state="hidden" r:id="rId2"/>
    <sheet name="Ильинское " sheetId="3" state="hidden" r:id="rId3"/>
    <sheet name="Видлицкое" sheetId="4" state="hidden" r:id="rId4"/>
    <sheet name="Мегрегское" sheetId="5" state="hidden" r:id="rId5"/>
    <sheet name="Куйтежское" sheetId="6" state="hidden" r:id="rId6"/>
    <sheet name="Михайловское" sheetId="7" state="hidden" r:id="rId7"/>
    <sheet name="Коверское" sheetId="8" state="hidden" r:id="rId8"/>
    <sheet name="Коткозерское" sheetId="9" state="hidden" r:id="rId9"/>
    <sheet name="Свод по посел." sheetId="10" state="hidden" r:id="rId10"/>
    <sheet name="район на 2009г." sheetId="11" r:id="rId11"/>
    <sheet name="покварт.на 01.01" sheetId="12" r:id="rId12"/>
    <sheet name="район для расчетов (не печатать" sheetId="13" state="hidden" r:id="rId13"/>
    <sheet name="итого" sheetId="14" state="hidden" r:id="rId14"/>
  </sheets>
  <definedNames/>
  <calcPr fullCalcOnLoad="1"/>
</workbook>
</file>

<file path=xl/sharedStrings.xml><?xml version="1.0" encoding="utf-8"?>
<sst xmlns="http://schemas.openxmlformats.org/spreadsheetml/2006/main" count="10373" uniqueCount="357">
  <si>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</si>
  <si>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</si>
  <si>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</si>
  <si>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</si>
  <si>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</si>
  <si>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</si>
  <si>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</si>
  <si>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</si>
  <si>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</si>
  <si>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</si>
  <si>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</si>
  <si>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</si>
  <si>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</si>
  <si>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</si>
  <si>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</si>
  <si>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</si>
  <si>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</si>
  <si>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</si>
  <si>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</si>
  <si>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</si>
  <si>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</si>
  <si>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</si>
  <si>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</si>
  <si>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02</t>
  </si>
  <si>
    <t>110</t>
  </si>
  <si>
    <t>Налог на доходы физических лиц полученных в виде дивидентов от долевого участия в деятельности организаций</t>
  </si>
  <si>
    <t>182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</si>
  <si>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</si>
  <si>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</si>
  <si>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</si>
  <si>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</si>
  <si>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</si>
  <si>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</si>
  <si>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022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</si>
  <si>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материальной выгоды от экономии на процентах по заемных (кредитных) средств, </t>
  </si>
  <si>
    <t>040</t>
  </si>
  <si>
    <t>2.</t>
  </si>
  <si>
    <t>НАЛОГИ НА СОВОКУПНЫЙ ДОХОД</t>
  </si>
  <si>
    <t>05</t>
  </si>
  <si>
    <t>2.1</t>
  </si>
  <si>
    <t>Единый налог  на вмененный доход для отдельных видов деятельности</t>
  </si>
  <si>
    <t>2.2</t>
  </si>
  <si>
    <t>03</t>
  </si>
  <si>
    <t>011</t>
  </si>
  <si>
    <t>3.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</si>
  <si>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</si>
  <si>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</si>
  <si>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</si>
  <si>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</si>
  <si>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Земельный налог</t>
  </si>
  <si>
    <t>4.</t>
  </si>
  <si>
    <t>Государственная пошлина</t>
  </si>
  <si>
    <t>08</t>
  </si>
  <si>
    <t>Государственная пошлина по делам, рассматриваемым в судах общей юрисдикции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</si>
  <si>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</si>
  <si>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</si>
  <si>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5.</t>
  </si>
  <si>
    <t xml:space="preserve">ЗАДОЛЖЕННОСТЬ ПО ОТМЕНЕННЫМ НАЛОГАМ СБОРАМ И ИНЫМ </t>
  </si>
  <si>
    <t>09</t>
  </si>
  <si>
    <t xml:space="preserve"> ОБЯЗАТЕЛЬНЫМ ПЛАТЕЖАМ</t>
  </si>
  <si>
    <t>5.1</t>
  </si>
  <si>
    <t>Налог на прибыль организаций, зачислясляемый в местные бюджеты</t>
  </si>
  <si>
    <t>6.</t>
  </si>
  <si>
    <t>11</t>
  </si>
  <si>
    <t>6.1</t>
  </si>
  <si>
    <t>120</t>
  </si>
  <si>
    <t>014</t>
  </si>
  <si>
    <t>012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</si>
  <si>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</si>
  <si>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</si>
  <si>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</si>
  <si>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</si>
  <si>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</si>
  <si>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7.2</t>
  </si>
  <si>
    <t>Платежи за пользование лесным фондом</t>
  </si>
  <si>
    <t>Платежи за пользование лесным фондом в части, превышающей минимальные ставки платы за древесину, отпускаемую на корню</t>
  </si>
  <si>
    <t>053</t>
  </si>
  <si>
    <t>04</t>
  </si>
  <si>
    <t>Лесные подати в части, превышающей минимальные ставки за древесину, отпускаемую на корню</t>
  </si>
  <si>
    <t>Арендная плата за пользование лесным фондом, в части превышающей минимальные ставки платы за древисину, отпускаемую на корню</t>
  </si>
  <si>
    <t>8.</t>
  </si>
  <si>
    <t>ШТРАФЫ, САНКЦИИ, ВОЗМЕЩЕНИЕ УЩЕРБА</t>
  </si>
  <si>
    <t>16</t>
  </si>
  <si>
    <t>ПРОЧИЕ НЕНАЛОГОВЫЕ ДОХОДА ЗАЧИСЛЯЕМЫЕ В МЕСТНЫЙ БЮДЖЕТ</t>
  </si>
  <si>
    <t>17</t>
  </si>
  <si>
    <t>030</t>
  </si>
  <si>
    <t>180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</si>
  <si>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</si>
  <si>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</si>
  <si>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</si>
  <si>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</si>
  <si>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>151</t>
  </si>
  <si>
    <t>070</t>
  </si>
  <si>
    <t>Субвенции из Регионального фонда компенсаций</t>
  </si>
  <si>
    <t>2.3</t>
  </si>
  <si>
    <t>2.4</t>
  </si>
  <si>
    <t>Программа "Реформирование и модернизация ЖКХ Республики Карелия на 2004-2010г.</t>
  </si>
  <si>
    <t>3.2</t>
  </si>
  <si>
    <t>III.</t>
  </si>
  <si>
    <t>3</t>
  </si>
  <si>
    <t>Рыночные продажи товаров и услуг</t>
  </si>
  <si>
    <t>130</t>
  </si>
  <si>
    <t>1.1</t>
  </si>
  <si>
    <t xml:space="preserve">Безвозмездные поступления по предпринимательской и иной приносящей доход деятельности </t>
  </si>
  <si>
    <t>ВСЕГО ДОХОДОВ</t>
  </si>
  <si>
    <t>5.2</t>
  </si>
  <si>
    <t>Налог с продаж</t>
  </si>
  <si>
    <t>5.3</t>
  </si>
  <si>
    <t>Прочие отмененные налоги, сборы</t>
  </si>
  <si>
    <t>2.5</t>
  </si>
  <si>
    <t>2.6</t>
  </si>
  <si>
    <t>9</t>
  </si>
  <si>
    <t>10</t>
  </si>
  <si>
    <t>Доходы от продажи материальных и нематериальных активов</t>
  </si>
  <si>
    <t>14</t>
  </si>
  <si>
    <t>8.1</t>
  </si>
  <si>
    <t>Доходы от реализации имущества, находящегнося в государственной и муниципальной собственности</t>
  </si>
  <si>
    <t>Доходы от реализации иного имущества, находящегося в муниципальной собственности(в часим реализации основных средств по указанному имуществу)</t>
  </si>
  <si>
    <t>410</t>
  </si>
  <si>
    <t>Платежи за пользование природными ресурсами</t>
  </si>
  <si>
    <t xml:space="preserve"> на 2006 год</t>
  </si>
  <si>
    <t>Объем поступлений доходов  в бюджет Олонецкого городского поселения</t>
  </si>
  <si>
    <t>Объем поступлений доходов  в бюджет Туксинского сельского поселения</t>
  </si>
  <si>
    <t>Объем поступлений доходов  в бюджет Ильинского сельского поселения</t>
  </si>
  <si>
    <t>Объем поступлений доходов  в бюджет Видлицкого сельского поселения</t>
  </si>
  <si>
    <t>Объем поступлений доходов  в бюджет Куйтежского сельского  поселения</t>
  </si>
  <si>
    <t>Объем поступлений доходов  в бюджет Михайловское сельское  поселения</t>
  </si>
  <si>
    <t>Объем поступлений доходов  в бюджет Коткозерское сельскле поселения</t>
  </si>
  <si>
    <t>Объем поступлений доходов  в бюджет Олонецкого района</t>
  </si>
  <si>
    <t>Единый налог,взимаемый в связи с применением упращенной системы налогооблажения</t>
  </si>
  <si>
    <t>Субсидии на социальную поддержку специалистов муиципальных учреждений, работающих и проживающих за пределами городов в соответствии с Законом Республики Карелия "О социальной поддержке отдельных категорий граждан и признании утратившими силу некоторых законодательных актов РК"</t>
  </si>
  <si>
    <t>Субсидии из Регионального фонда софинансирования социальных расходов</t>
  </si>
  <si>
    <t>Программа "Адресная социальная помощь на 2006 год"</t>
  </si>
  <si>
    <t>Программа "Дети Карелии" на 2004-2006г.г.</t>
  </si>
  <si>
    <t>Программа "Здоровый образ жизни" на 2005-2007г.г.</t>
  </si>
  <si>
    <t>Программа "Развитие сферы культуры в РК на период до 2010 года"</t>
  </si>
  <si>
    <t>Субвенции для финансового обеспечения государственных гарантий прав граждан на получение общедоступного и бесплатного начального общего,основного общего,среднего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пособия,технические средства обучения,расходные материалы и хозяйственные нужды (за исключением расходов на содержание зданий и коммунальных расходов,осуществляемых из местных бюджетов)</t>
  </si>
  <si>
    <t xml:space="preserve">Субвенции на финансовое обеспечение полномочий по образованию и обеспечению деятельности комиссий по делам несовершеннолетних и защите их прав </t>
  </si>
  <si>
    <t xml:space="preserve">Субвенции на возмещение расходов бюджетов муниципальных районов по выплате гражданам адресных субсидий на оплату жилья и коммунальных услуг </t>
  </si>
  <si>
    <t>Субвенции на обеспечение мер социальной поддержки и социального обслуживания инвалидов в соответствии с Законом РК "Об образовании"</t>
  </si>
  <si>
    <t>Субвенции по предоставлению мер социальной поддержки по оплате жилой площади с отоплением и освещением педагогическим работникам муниципальных образовательных учреждений,работающим и проживающим за пределами городов</t>
  </si>
  <si>
    <t>Субвенции на финансовое обеспечение социальной поддержки детей-сирот,детей, оставшихся без попечения родителей, и лиц из числа детей-сирот и детей,оставшихся без попечения родителей, за исключением детей, находящихся и обучающихся в государственных учреждениях РК</t>
  </si>
  <si>
    <t>Субвенции на финансовое обеспечение социального обслуживания граждан пожилого возраста и инвалидов, граждан, находящихся в трудовой жизненной ситуации, детей-сирот,безнадзорных детей,детей, оставшихся без попечения родителей</t>
  </si>
  <si>
    <t>Субвенции на осуществление переданных органам местного самоуправления муниципальных районов государственных полномочий по расчету и предоставлению дотаций бюджетам поселений</t>
  </si>
  <si>
    <t xml:space="preserve">Субвенции на осуществление переданных полномочий по лицензированию розничной продажи алкогольной продукции </t>
  </si>
  <si>
    <t>Дотации на выравнивание бюджетной обеспеченности муниципальных образований из Регионального фонда финансовой поддержки муниципальных районов</t>
  </si>
  <si>
    <t>Объем поступлений доходов  в бюджет Мегрегское сельское поселения</t>
  </si>
  <si>
    <t>Объем поступлений доходов  в бюджет Коверское сельское поселения</t>
  </si>
  <si>
    <t>ДОХОДЫ ОТ ИСПОЛЬЗОВАНИЯ ИМУЩЕСТВА, НАХОДЯЩЕГОСЯ В ГОСУДАРСТВЕННОЙ И МУНИЦИПАЛЬНОЙ</t>
  </si>
  <si>
    <t>Доходы от сдачи в аренду имущества, находящегося в государственной и муниципальной собственности</t>
  </si>
  <si>
    <t xml:space="preserve">Субсидии на долевое финансирование расходов граждан по строительству (приобретению) жилья в сельской местности РК </t>
  </si>
  <si>
    <t>003</t>
  </si>
  <si>
    <t>Прочие поступления от использования имущества, находящегося в собственности поселений</t>
  </si>
  <si>
    <t>045</t>
  </si>
  <si>
    <t>Прочие доходы от использования имущества и прав,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</si>
  <si>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земли, зачисляемые в бюджеты поселений</t>
  </si>
  <si>
    <t>498</t>
  </si>
  <si>
    <t>6.2</t>
  </si>
  <si>
    <t>90</t>
  </si>
  <si>
    <t>050</t>
  </si>
  <si>
    <t>Дотация бюджетам поселений на выравнивание уровня бюджетной обеспеченности</t>
  </si>
  <si>
    <t xml:space="preserve">Дотация на выравнивание уровня бюджетной обеспеченности </t>
  </si>
  <si>
    <t>1.2</t>
  </si>
  <si>
    <t>Дотация  местным бюджетам на поддержку мер по обеспечению сбалансированности бюджетов</t>
  </si>
  <si>
    <t>1.3</t>
  </si>
  <si>
    <t>940</t>
  </si>
  <si>
    <t>920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</si>
  <si>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</si>
  <si>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поселений</t>
  </si>
  <si>
    <t>Прочие безвозмездные поступления учреждениям, находящимися в ведении органов местного самоуправления поселений</t>
  </si>
  <si>
    <t>налог на игорный бизнес</t>
  </si>
  <si>
    <t>Итого объем поступлений доходов  в бюджет  поселения (свод)</t>
  </si>
  <si>
    <t>Приложение №3</t>
  </si>
  <si>
    <t>к Решению сессии районного Совета</t>
  </si>
  <si>
    <t>представительного органа местного</t>
  </si>
  <si>
    <t>самоуправления Олонецкого района</t>
  </si>
  <si>
    <t>за год</t>
  </si>
  <si>
    <t>1 квартал</t>
  </si>
  <si>
    <t>2 квартал</t>
  </si>
  <si>
    <t>3 квартал</t>
  </si>
  <si>
    <t>4 квартал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</si>
  <si>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</si>
  <si>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</si>
  <si>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</si>
  <si>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</si>
  <si>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</si>
  <si>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</si>
  <si>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</si>
  <si>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</si>
  <si>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</si>
  <si>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</si>
  <si>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</si>
  <si>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</si>
  <si>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</si>
  <si>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из Регионального Фонда муниципального развития</t>
  </si>
  <si>
    <t>024</t>
  </si>
  <si>
    <t>092</t>
  </si>
  <si>
    <t>903</t>
  </si>
  <si>
    <t>057</t>
  </si>
  <si>
    <t>930</t>
  </si>
  <si>
    <t>055</t>
  </si>
  <si>
    <t>132</t>
  </si>
  <si>
    <t>2.7</t>
  </si>
  <si>
    <t>2.8</t>
  </si>
  <si>
    <t>2.9</t>
  </si>
  <si>
    <t>3.1</t>
  </si>
  <si>
    <t>3.1.1</t>
  </si>
  <si>
    <t>3.1.2</t>
  </si>
  <si>
    <t>3.1.3</t>
  </si>
  <si>
    <t>Сибсидии на долевое финансирование программ по оплате муниципальных организаций,муниципальных предприятий, а также по объектам социального назначения, являющимися собственностью муниципальных образований, включенным в республиканкие целевые программы, из них</t>
  </si>
  <si>
    <t xml:space="preserve">"О внесении изменений в решение районного </t>
  </si>
  <si>
    <t>Совета №3 от 25.01.2006г."О бюджете</t>
  </si>
  <si>
    <t>муниципального образования "Олонецкий</t>
  </si>
  <si>
    <t>национальный район"</t>
  </si>
  <si>
    <t>Проект "олония-гусинная столица"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</si>
  <si>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</si>
  <si>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Единый сельхозяйственный налог, уплачиваемый организациями</t>
  </si>
  <si>
    <t>Сборы за выдачу  органами местного самоуправления лицензий на розничную продажу алкогольной продукции, зачисляемые в бюджеты муниципальных районов</t>
  </si>
  <si>
    <t>13</t>
  </si>
  <si>
    <t>240</t>
  </si>
  <si>
    <t>Субвенция на обеспечение соц. под. социальных работников мун. учрежд.,прожив. и работ. за пределами городов, осущ. соц. обслуж. гражд. пожил. возраста и инвалидов, находящихся в трудной жизненной ситуации, а также детей-сирот, безнадзорных детей, детей, оставшихся без попечения родителей...</t>
  </si>
  <si>
    <t xml:space="preserve">Субвенции на осуществление полномочий по регулированию цен (тарифов) на отдельные виды продукции, товаров и услуг </t>
  </si>
  <si>
    <t>Субвенции на обеспречение жилой площадью по договорам социального найма детей-сирот и детей, оставшихся без попечения родителей и не имеющих закрепленного за ними жилого помещения</t>
  </si>
  <si>
    <t>убвенции на осуществление полномочий по подготовке и проведению сельскохозяйственной переписи</t>
  </si>
  <si>
    <t>субсидии на финансирование дополнительных расходов, связанных с выплатой ежемесячной денежной доплаты работникам муниципальных учреждений здравоохранения</t>
  </si>
  <si>
    <t>субсидии,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</si>
  <si>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>082</t>
  </si>
  <si>
    <t>Субвенции на вознограждение за классное руководство в муниципальных общееоразовательных школах</t>
  </si>
  <si>
    <t>Субвенции на внедрение инновационных образовательных программ в муниципальных общеобразовательных учреждениях</t>
  </si>
  <si>
    <t>114</t>
  </si>
  <si>
    <t>субсидии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</si>
  <si>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 xml:space="preserve">Свод объем поступлений доходов муниципального образования  на 2006год </t>
  </si>
  <si>
    <t>333</t>
  </si>
  <si>
    <t>Субвенции на денежн. выплаты мед. перс. фел.-акуш. пунктов, врачам, фельдшерам и медсестрам скорой медицинской помощи</t>
  </si>
  <si>
    <t>423</t>
  </si>
  <si>
    <t>от 08.11.2006г. №142</t>
  </si>
  <si>
    <t>Программа "Адресная социальная помощь на 2007 год"</t>
  </si>
  <si>
    <t>3.3</t>
  </si>
  <si>
    <t>субсидии на долевое финансирование расходов по обеспечению жильем молодых семей и молодых специалистов, проживающих и работающих на селе, либо изъявивших желание переехать на постоянное место жительства в сельскую местность и работать там</t>
  </si>
  <si>
    <t>Программа "Развитие образования в Республике Карелия" на 2005-2007 годы</t>
  </si>
  <si>
    <t xml:space="preserve">субсидии на финансирование дополнительных расходов, связанных с выплатой ежемесячной денежной доплаты тренерам-преподавателям ДЮСШ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</si>
  <si>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здравоохранения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</si>
  <si>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образования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</si>
  <si>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культуры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</si>
  <si>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соцзащиты  </t>
  </si>
  <si>
    <t>Субвенции на обеспечение социалной поддержки соц.работников мун.учрежд., проживающих и работающих за пределами городов, осуществл. Соц.обслуж. Граждан пож.возраста и инвалидов, граждан наход. В труд.ситуации</t>
  </si>
  <si>
    <t>Субвенции на осуществление полном. По регулированию цен на отдельные виды продукции, товаров и услуг</t>
  </si>
  <si>
    <t>Субвенции на обеспечение жилой площадью по договорам соц.найма детей-сирот, оставшихся без попечения родителей, не имеющих закрепленного за ними жилого помещения</t>
  </si>
  <si>
    <t xml:space="preserve">Субвенции обеспечения перед. исполнительно-распорядит. Органам полномочий по составлению  (изменению, дополнению) списков кандидатов в присяжные заседатели федеральных судов общей юрисдикции </t>
  </si>
  <si>
    <t>3.5</t>
  </si>
  <si>
    <t>3.6</t>
  </si>
  <si>
    <t>3.7</t>
  </si>
  <si>
    <t xml:space="preserve">Субвенции </t>
  </si>
  <si>
    <t xml:space="preserve">Субсидии </t>
  </si>
  <si>
    <t>Субвенции  на ежемесячное денежное вознаграждение за классное руководство</t>
  </si>
  <si>
    <t>субвенции на денежные выплаты мед.персоналу (зав.фельдшерско-акушерских пунктов, фельдшерам, акушеркам….и подразделений скорой помощи</t>
  </si>
  <si>
    <t>Единый  сельхозналог</t>
  </si>
  <si>
    <t xml:space="preserve"> на 2007 год</t>
  </si>
  <si>
    <t>Единый сельхозналог</t>
  </si>
  <si>
    <t xml:space="preserve">Субвенции на осуществление первичного воиского учета </t>
  </si>
  <si>
    <t>ПРОЧИЕ НЕНАЛОГОВЫЕ ДОХОДЫ ЗАЧИСЛЯЕМЫЕ В МЕСТНЫЙ БЮДЖЕТ</t>
  </si>
  <si>
    <t xml:space="preserve">Доходы от продажи услуг, оказываемых учреждениями, находящимися в ведении органов местного самоуправления </t>
  </si>
  <si>
    <t xml:space="preserve">Прочие безвозмездные поступления учреждениям, находящимися в ведении органов местного самоуправления </t>
  </si>
  <si>
    <t>3.8</t>
  </si>
  <si>
    <t>001</t>
  </si>
  <si>
    <t>999</t>
  </si>
  <si>
    <t>025</t>
  </si>
  <si>
    <t>004</t>
  </si>
  <si>
    <t>036</t>
  </si>
  <si>
    <t>Приложение № 3</t>
  </si>
  <si>
    <t>914</t>
  </si>
  <si>
    <t>субсидии на предоставление субсидий мол.семьям на приобретение жилья в рамках респ.цел.программы "Жилище" на 2004-2010 годы</t>
  </si>
  <si>
    <t>140</t>
  </si>
  <si>
    <t>033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</si>
  <si>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</si>
  <si>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</si>
  <si>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</si>
  <si>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</si>
  <si>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Денежные взыскания (штрафы) за административные правонарушения в области дорожного движения</t>
  </si>
  <si>
    <t>30</t>
  </si>
  <si>
    <t>субвенция на финансирование расходов связанных с  предоставлением компесации части родительской платы за содержание ребенка в мун. образ.учрежд. реализующим основную общеобразовательную программу дошкольного образования</t>
  </si>
  <si>
    <t xml:space="preserve">Субсидии на социальную поддержку специалистов муиципальных учреждений, работающих и проживающих за пределами городов </t>
  </si>
  <si>
    <t>Субсидии из фонда софинансирования социальных расходов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</si>
  <si>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</si>
  <si>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008</t>
  </si>
  <si>
    <t>4.1.</t>
  </si>
  <si>
    <t>4.2.</t>
  </si>
  <si>
    <t>5.1.</t>
  </si>
  <si>
    <t>8.1.</t>
  </si>
  <si>
    <t>8.2.</t>
  </si>
  <si>
    <t>8.3.</t>
  </si>
  <si>
    <t>8.4.</t>
  </si>
  <si>
    <t>8.5.</t>
  </si>
  <si>
    <t>8.6.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</si>
  <si>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</si>
  <si>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</si>
  <si>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</si>
  <si>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</si>
  <si>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</si>
  <si>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</si>
  <si>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</si>
  <si>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</si>
  <si>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</si>
  <si>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</si>
  <si>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</t>
  </si>
  <si>
    <t>2.18.</t>
  </si>
  <si>
    <t>3.1.</t>
  </si>
  <si>
    <t>3.4.</t>
  </si>
  <si>
    <t>3.9</t>
  </si>
  <si>
    <t>3.10</t>
  </si>
  <si>
    <t>3.11</t>
  </si>
  <si>
    <t>3.12</t>
  </si>
  <si>
    <t>3.13</t>
  </si>
  <si>
    <t>3.14</t>
  </si>
  <si>
    <t>3.2.</t>
  </si>
  <si>
    <t xml:space="preserve">  тыс.руб.</t>
  </si>
  <si>
    <t>Государственная пошлина завыдачу разрешения на установку рекламной конструкции</t>
  </si>
  <si>
    <t>150</t>
  </si>
  <si>
    <t>Доходы в виде прибыли, приходящиеся на доли в уставных (складочных) капиталах хозяйственных товариществ и обществ, или дивидендов по акциям, принадлежащим мунициальным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</si>
  <si>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</si>
  <si>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</si>
  <si>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муниципальных районов на выравнивание бюджетной обеспеченности</t>
  </si>
  <si>
    <t>026</t>
  </si>
  <si>
    <t>007</t>
  </si>
  <si>
    <t>029</t>
  </si>
  <si>
    <t>субвенции на обеспечение полномочий по организации заготовки, переработки, хранения и обеспечения безопасности  донорской крови и ее компонентов, обеспечения муниципальных организаций здравоохранения донорской кровью и ее компонентами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</si>
  <si>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</si>
  <si>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 от реализации иного имущества, находящихся  в собственности муниципальных районов, в части реализации основных средств по указанному имуществу)</t>
  </si>
  <si>
    <t>Прочие поступления от денежных взысканий (штрафы) и иных  сумм в возмещение ущерба, зачисляемые в бюджеты муниципальных районов</t>
  </si>
  <si>
    <t>Прогнозные поступления доходов  в бюджет Олонецкого национального муниципального района</t>
  </si>
  <si>
    <t>Прочие поступления от использования имущества, находящегося в собственности муниципальных районов</t>
  </si>
  <si>
    <t>средства по переданным полномочиям по финансовому органу</t>
  </si>
  <si>
    <t>средства по переданным полномочиям по билиотечному обслуживанию</t>
  </si>
  <si>
    <t>Государственная пошлина по делам, рассматриваемым в судах общей юрисдикции,  мировыми судьями (за исключением Верховного Суда Российской Федерации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</si>
  <si>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</si>
  <si>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</si>
  <si>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 xml:space="preserve">Денежные взыскания (штрафы) за административные в области государственного регулирования производства и оборота этилового спирта, алкогольной, спиртосодержащей </t>
  </si>
  <si>
    <t>Денежные взыскания (штрафы) за нарушение законодательства об охране и использовании животного мира</t>
  </si>
  <si>
    <t>25</t>
  </si>
  <si>
    <t xml:space="preserve"> на 2009 год</t>
  </si>
  <si>
    <t xml:space="preserve">ожидаемое </t>
  </si>
  <si>
    <t>исполнение</t>
  </si>
  <si>
    <t>2008г.</t>
  </si>
  <si>
    <t xml:space="preserve">факт </t>
  </si>
  <si>
    <t>2007г.</t>
  </si>
  <si>
    <t>субвенции бюджетам муниципальных районов на выполнение гос.полномочий по организации и осуществлению деятельности по опеке и попечительству</t>
  </si>
  <si>
    <t>Сумма</t>
  </si>
  <si>
    <t>430</t>
  </si>
  <si>
    <t>015</t>
  </si>
  <si>
    <t xml:space="preserve">средства на осуществление части полномочий по решению вопросов местного значения из бюджетов поселений бюджету муниципального  района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</si>
  <si>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</si>
  <si>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по регулированию цен (тарифов) на отдельные виды продукции, товаров и услуг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</si>
  <si>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</si>
  <si>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Прочие безвозмездные поступления в бюджеты муниципальных районов </t>
  </si>
  <si>
    <t xml:space="preserve">К решению  Совета Олонецкого национального муниципального района от 3.12.2008г. № 116                                      " О бюджете Олонецкого национального муниципального района на 2009 год. " </t>
  </si>
  <si>
    <t>1квартал</t>
  </si>
  <si>
    <t>2квартал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</si>
</sst>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</numFmts>
  <fonts count="1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2"/>
    </font>
    <font>
      <b/>
      <sz val="10"/>
      <color indexed="1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" fontId="5" fillId="0" borderId="8" xfId="0" applyNumberFormat="1" applyFont="1" applyBorder="1" applyAlignment="1">
      <alignment horizontal="right"/>
    </xf>
    <xf numFmtId="16" fontId="5" fillId="0" borderId="9" xfId="0" applyNumberFormat="1" applyFont="1" applyBorder="1" applyAlignment="1">
      <alignment horizontal="right"/>
    </xf>
    <xf numFmtId="16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4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49" fontId="5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49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right"/>
    </xf>
    <xf numFmtId="16" fontId="5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4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6" xfId="0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49" fontId="5" fillId="0" borderId="5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0" fontId="5" fillId="0" borderId="26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6" xfId="0" applyFill="1" applyBorder="1" applyAlignment="1">
      <alignment/>
    </xf>
    <xf numFmtId="0" fontId="7" fillId="2" borderId="44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wrapText="1"/>
    </xf>
    <xf numFmtId="49" fontId="0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6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wrapText="1"/>
    </xf>
    <xf numFmtId="49" fontId="0" fillId="3" borderId="1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10" xfId="0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4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9" fontId="0" fillId="3" borderId="42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4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67" fontId="4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53">
      <pane xSplit="8700" topLeftCell="A2" activePane="topLeft" state="split"/>
      <selection pane="topLeft" activeCell="B92" sqref="B92"/>
      <selection pane="topRight" activeCell="AA29" sqref="AA29"/>
    </sheetView>
  </sheetViews>
  <sheetFormatPr defaultColWidth="9.00390625" defaultRowHeight="12.75"/>
  <cols>
    <col min="1" max="1" width="5.25390625" style="0" customWidth="1"/>
    <col min="2" max="2" width="63.75390625" style="0" customWidth="1"/>
    <col min="3" max="3" width="7.25390625" style="0" hidden="1" customWidth="1"/>
    <col min="4" max="4" width="6.25390625" style="0" hidden="1" customWidth="1"/>
    <col min="5" max="5" width="7.625" style="0" hidden="1" customWidth="1"/>
    <col min="6" max="6" width="7.25390625" style="0" hidden="1" customWidth="1"/>
    <col min="7" max="7" width="7.375" style="0" hidden="1" customWidth="1"/>
    <col min="8" max="8" width="7.875" style="0" hidden="1" customWidth="1"/>
    <col min="9" max="9" width="8.00390625" style="0" hidden="1" customWidth="1"/>
    <col min="10" max="10" width="7.375" style="0" hidden="1" customWidth="1"/>
    <col min="11" max="11" width="13.125" style="0" customWidth="1"/>
    <col min="12" max="13" width="9.125" style="0" hidden="1" customWidth="1"/>
    <col min="14" max="14" width="9.125" style="334" hidden="1" customWidth="1"/>
    <col min="15" max="16" width="9.125" style="0" hidden="1" customWidth="1"/>
    <col min="17" max="17" width="8.875" style="0" hidden="1" customWidth="1"/>
    <col min="18" max="18" width="9.125" style="334" hidden="1" customWidth="1"/>
    <col min="19" max="21" width="9.125" style="0" hidden="1" customWidth="1"/>
    <col min="22" max="22" width="9.125" style="334" hidden="1" customWidth="1"/>
    <col min="23" max="23" width="9.00390625" style="0" hidden="1" customWidth="1"/>
    <col min="24" max="25" width="9.125" style="0" hidden="1" customWidth="1"/>
    <col min="26" max="26" width="9.125" style="334" hidden="1" customWidth="1"/>
    <col min="27" max="29" width="9.125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257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9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N16" s="335"/>
      <c r="O16" s="176"/>
      <c r="P16" s="176"/>
      <c r="Q16" s="176"/>
      <c r="R16" s="352"/>
      <c r="S16" s="176"/>
      <c r="T16" s="176"/>
      <c r="U16" s="176"/>
      <c r="V16" s="352"/>
      <c r="W16" s="176"/>
      <c r="X16" s="176"/>
      <c r="Y16" s="176"/>
      <c r="Z16" s="355"/>
      <c r="AA16" s="176"/>
      <c r="AB16" s="176"/>
      <c r="AC16" s="176"/>
    </row>
    <row r="17" spans="1:29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N17" s="336"/>
      <c r="O17" s="179"/>
      <c r="P17" s="179"/>
      <c r="Q17" s="179"/>
      <c r="R17" s="353"/>
      <c r="S17" s="179"/>
      <c r="T17" s="179"/>
      <c r="U17" s="179"/>
      <c r="V17" s="353"/>
      <c r="W17" s="179"/>
      <c r="X17" s="179"/>
      <c r="Y17" s="179"/>
      <c r="Z17" s="356"/>
      <c r="AA17" s="179"/>
      <c r="AB17" s="179"/>
      <c r="AC17" s="179"/>
    </row>
    <row r="18" spans="1:29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N18" s="336" t="s">
        <v>181</v>
      </c>
      <c r="O18" s="179"/>
      <c r="P18" s="179"/>
      <c r="Q18" s="179"/>
      <c r="R18" s="353"/>
      <c r="S18" s="179"/>
      <c r="T18" s="179"/>
      <c r="U18" s="179"/>
      <c r="V18" s="353"/>
      <c r="W18" s="179"/>
      <c r="X18" s="179"/>
      <c r="Y18" s="179"/>
      <c r="Z18" s="356"/>
      <c r="AA18" s="179"/>
      <c r="AB18" s="179"/>
      <c r="AC18" s="179"/>
    </row>
    <row r="19" spans="1:29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N19" s="336"/>
      <c r="O19" s="179"/>
      <c r="P19" s="179"/>
      <c r="Q19" s="179"/>
      <c r="R19" s="353"/>
      <c r="S19" s="179"/>
      <c r="T19" s="179"/>
      <c r="U19" s="179"/>
      <c r="V19" s="353"/>
      <c r="W19" s="179"/>
      <c r="X19" s="179"/>
      <c r="Y19" s="179"/>
      <c r="Z19" s="356"/>
      <c r="AA19" s="179"/>
      <c r="AB19" s="179"/>
      <c r="AC19" s="179"/>
    </row>
    <row r="20" spans="1:29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N20" s="337"/>
      <c r="O20" s="182"/>
      <c r="P20" s="182"/>
      <c r="Q20" s="182"/>
      <c r="R20" s="354"/>
      <c r="S20" s="182"/>
      <c r="T20" s="182"/>
      <c r="U20" s="182"/>
      <c r="V20" s="354"/>
      <c r="W20" s="182"/>
      <c r="X20" s="182"/>
      <c r="Y20" s="182"/>
      <c r="Z20" s="357"/>
      <c r="AA20" s="182"/>
      <c r="AB20" s="182"/>
      <c r="AC20" s="182"/>
    </row>
    <row r="21" spans="1:29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N21" s="338">
        <v>5</v>
      </c>
      <c r="O21" s="184"/>
      <c r="P21" s="184"/>
      <c r="Q21" s="184"/>
      <c r="R21" s="338">
        <v>6</v>
      </c>
      <c r="S21" s="184"/>
      <c r="T21" s="184"/>
      <c r="U21" s="184"/>
      <c r="V21" s="338">
        <v>7</v>
      </c>
      <c r="W21" s="184"/>
      <c r="X21" s="184"/>
      <c r="Y21" s="184"/>
      <c r="Z21" s="338">
        <v>8</v>
      </c>
      <c r="AA21" s="184"/>
      <c r="AB21" s="184"/>
      <c r="AC21" s="184"/>
    </row>
    <row r="22" spans="1:29" ht="48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 t="s">
        <v>176</v>
      </c>
      <c r="N22" s="338" t="s">
        <v>177</v>
      </c>
      <c r="O22" s="184" t="s">
        <v>182</v>
      </c>
      <c r="P22" s="184" t="s">
        <v>183</v>
      </c>
      <c r="Q22" s="184" t="s">
        <v>184</v>
      </c>
      <c r="R22" s="338" t="s">
        <v>178</v>
      </c>
      <c r="S22" s="184" t="s">
        <v>185</v>
      </c>
      <c r="T22" s="184" t="s">
        <v>186</v>
      </c>
      <c r="U22" s="184" t="s">
        <v>187</v>
      </c>
      <c r="V22" s="338" t="s">
        <v>179</v>
      </c>
      <c r="W22" s="184" t="s">
        <v>188</v>
      </c>
      <c r="X22" s="184" t="s">
        <v>189</v>
      </c>
      <c r="Y22" s="184" t="s">
        <v>190</v>
      </c>
      <c r="Z22" s="338" t="s">
        <v>180</v>
      </c>
      <c r="AA22" s="184" t="s">
        <v>191</v>
      </c>
      <c r="AB22" s="184" t="s">
        <v>192</v>
      </c>
      <c r="AC22" s="184" t="s">
        <v>193</v>
      </c>
    </row>
    <row r="23" spans="1:29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10493.400000000001</v>
      </c>
      <c r="L23" s="102">
        <f aca="true" t="shared" si="0" ref="L23:AC23">L24+L31+L34+L38+L41+L47+L55+L64+L65+L61</f>
        <v>0</v>
      </c>
      <c r="M23" s="102">
        <f t="shared" si="0"/>
        <v>0</v>
      </c>
      <c r="N23" s="339">
        <f t="shared" si="0"/>
        <v>17.5</v>
      </c>
      <c r="O23" s="102">
        <f t="shared" si="0"/>
        <v>0</v>
      </c>
      <c r="P23" s="102">
        <f t="shared" si="0"/>
        <v>0</v>
      </c>
      <c r="Q23" s="102">
        <f t="shared" si="0"/>
        <v>0</v>
      </c>
      <c r="R23" s="339">
        <f t="shared" si="0"/>
        <v>0</v>
      </c>
      <c r="S23" s="102">
        <f t="shared" si="0"/>
        <v>0</v>
      </c>
      <c r="T23" s="102">
        <f t="shared" si="0"/>
        <v>0</v>
      </c>
      <c r="U23" s="102">
        <f t="shared" si="0"/>
        <v>0</v>
      </c>
      <c r="V23" s="339">
        <f t="shared" si="0"/>
        <v>0</v>
      </c>
      <c r="W23" s="102">
        <f t="shared" si="0"/>
        <v>0</v>
      </c>
      <c r="X23" s="102">
        <f t="shared" si="0"/>
        <v>0</v>
      </c>
      <c r="Y23" s="102">
        <f t="shared" si="0"/>
        <v>0</v>
      </c>
      <c r="Z23" s="339">
        <f t="shared" si="0"/>
        <v>0</v>
      </c>
      <c r="AA23" s="102">
        <f t="shared" si="0"/>
        <v>0</v>
      </c>
      <c r="AB23" s="102">
        <f t="shared" si="0"/>
        <v>0</v>
      </c>
      <c r="AC23" s="102">
        <f t="shared" si="0"/>
        <v>0</v>
      </c>
    </row>
    <row r="24" spans="1:29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8852.2</v>
      </c>
      <c r="L24" s="45">
        <f aca="true" t="shared" si="1" ref="L24:AC24">L25</f>
        <v>0</v>
      </c>
      <c r="M24" s="45">
        <f t="shared" si="1"/>
        <v>0</v>
      </c>
      <c r="N24" s="340">
        <f t="shared" si="1"/>
        <v>17.5</v>
      </c>
      <c r="O24" s="45">
        <f t="shared" si="1"/>
        <v>0</v>
      </c>
      <c r="P24" s="45">
        <f t="shared" si="1"/>
        <v>0</v>
      </c>
      <c r="Q24" s="45">
        <f t="shared" si="1"/>
        <v>0</v>
      </c>
      <c r="R24" s="340">
        <f t="shared" si="1"/>
        <v>0</v>
      </c>
      <c r="S24" s="45">
        <f t="shared" si="1"/>
        <v>0</v>
      </c>
      <c r="T24" s="45">
        <f t="shared" si="1"/>
        <v>0</v>
      </c>
      <c r="U24" s="45">
        <f t="shared" si="1"/>
        <v>0</v>
      </c>
      <c r="V24" s="340">
        <f t="shared" si="1"/>
        <v>0</v>
      </c>
      <c r="W24" s="45">
        <f t="shared" si="1"/>
        <v>0</v>
      </c>
      <c r="X24" s="45">
        <f t="shared" si="1"/>
        <v>0</v>
      </c>
      <c r="Y24" s="45">
        <f t="shared" si="1"/>
        <v>0</v>
      </c>
      <c r="Z24" s="340">
        <f t="shared" si="1"/>
        <v>0</v>
      </c>
      <c r="AA24" s="45">
        <f t="shared" si="1"/>
        <v>0</v>
      </c>
      <c r="AB24" s="45">
        <f t="shared" si="1"/>
        <v>0</v>
      </c>
      <c r="AC24" s="45">
        <f t="shared" si="1"/>
        <v>0</v>
      </c>
    </row>
    <row r="25" spans="1:29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K26+K27+K30+K29</f>
        <v>8852.2</v>
      </c>
      <c r="L25" s="45">
        <f aca="true" t="shared" si="2" ref="L25:AC25">L26+L27+L30+L29</f>
        <v>0</v>
      </c>
      <c r="M25" s="45">
        <f t="shared" si="2"/>
        <v>0</v>
      </c>
      <c r="N25" s="340">
        <f t="shared" si="2"/>
        <v>17.5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340">
        <f t="shared" si="2"/>
        <v>0</v>
      </c>
      <c r="S25" s="45">
        <f t="shared" si="2"/>
        <v>0</v>
      </c>
      <c r="T25" s="45">
        <f t="shared" si="2"/>
        <v>0</v>
      </c>
      <c r="U25" s="45">
        <f t="shared" si="2"/>
        <v>0</v>
      </c>
      <c r="V25" s="340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340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</row>
    <row r="26" spans="1:29" ht="24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>
        <v>0</v>
      </c>
      <c r="N26" s="338"/>
      <c r="O26" s="184"/>
      <c r="P26" s="184"/>
      <c r="Q26" s="184"/>
      <c r="R26" s="338"/>
      <c r="S26" s="184"/>
      <c r="T26" s="184"/>
      <c r="U26" s="184"/>
      <c r="V26" s="338"/>
      <c r="W26" s="184"/>
      <c r="X26" s="184"/>
      <c r="Y26" s="184"/>
      <c r="Z26" s="338"/>
      <c r="AA26" s="184"/>
      <c r="AB26" s="184"/>
      <c r="AC26" s="184"/>
    </row>
    <row r="27" spans="1:29" ht="36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8782.2</v>
      </c>
      <c r="N27" s="338"/>
      <c r="O27" s="184"/>
      <c r="P27" s="184"/>
      <c r="Q27" s="184"/>
      <c r="R27" s="338"/>
      <c r="S27" s="184"/>
      <c r="T27" s="184"/>
      <c r="U27" s="184"/>
      <c r="V27" s="338"/>
      <c r="W27" s="184"/>
      <c r="X27" s="184"/>
      <c r="Y27" s="184"/>
      <c r="Z27" s="338"/>
      <c r="AA27" s="184"/>
      <c r="AB27" s="184"/>
      <c r="AC27" s="184"/>
    </row>
    <row r="28" spans="1:29" ht="78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8782.2</v>
      </c>
      <c r="N28" s="338"/>
      <c r="O28" s="184"/>
      <c r="P28" s="184"/>
      <c r="Q28" s="184"/>
      <c r="R28" s="338"/>
      <c r="S28" s="184"/>
      <c r="T28" s="184"/>
      <c r="U28" s="184"/>
      <c r="V28" s="338"/>
      <c r="W28" s="184"/>
      <c r="X28" s="184"/>
      <c r="Y28" s="184"/>
      <c r="Z28" s="338"/>
      <c r="AA28" s="184"/>
      <c r="AB28" s="184"/>
      <c r="AC28" s="184"/>
    </row>
    <row r="29" spans="1:29" ht="71.2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70</v>
      </c>
      <c r="N29" s="338">
        <f>K29/4</f>
        <v>17.5</v>
      </c>
      <c r="O29" s="184"/>
      <c r="P29" s="184"/>
      <c r="Q29" s="184"/>
      <c r="R29" s="338"/>
      <c r="S29" s="184"/>
      <c r="T29" s="184"/>
      <c r="U29" s="184"/>
      <c r="V29" s="338"/>
      <c r="W29" s="184"/>
      <c r="X29" s="184"/>
      <c r="Y29" s="184"/>
      <c r="Z29" s="338"/>
      <c r="AA29" s="184"/>
      <c r="AB29" s="184"/>
      <c r="AC29" s="184"/>
    </row>
    <row r="30" spans="1:29" ht="60.75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>
        <v>0</v>
      </c>
      <c r="N30" s="338"/>
      <c r="O30" s="184"/>
      <c r="P30" s="184"/>
      <c r="Q30" s="184"/>
      <c r="R30" s="338"/>
      <c r="S30" s="184"/>
      <c r="T30" s="184"/>
      <c r="U30" s="184"/>
      <c r="V30" s="338"/>
      <c r="W30" s="184"/>
      <c r="X30" s="184"/>
      <c r="Y30" s="184"/>
      <c r="Z30" s="338"/>
      <c r="AA30" s="184"/>
      <c r="AB30" s="184"/>
      <c r="AC30" s="184"/>
    </row>
    <row r="31" spans="1:29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0.7</v>
      </c>
      <c r="L31" s="43">
        <f aca="true" t="shared" si="3" ref="L31:AC31">L32+L33</f>
        <v>0</v>
      </c>
      <c r="M31" s="43">
        <f t="shared" si="3"/>
        <v>0</v>
      </c>
      <c r="N31" s="341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341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341">
        <f t="shared" si="3"/>
        <v>0</v>
      </c>
      <c r="W31" s="43">
        <f t="shared" si="3"/>
        <v>0</v>
      </c>
      <c r="X31" s="43">
        <f t="shared" si="3"/>
        <v>0</v>
      </c>
      <c r="Y31" s="43">
        <f t="shared" si="3"/>
        <v>0</v>
      </c>
      <c r="Z31" s="341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</row>
    <row r="32" spans="1:29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N32" s="338"/>
      <c r="O32" s="184"/>
      <c r="P32" s="184"/>
      <c r="Q32" s="184"/>
      <c r="R32" s="338"/>
      <c r="S32" s="184"/>
      <c r="T32" s="184"/>
      <c r="U32" s="184"/>
      <c r="V32" s="338"/>
      <c r="W32" s="184"/>
      <c r="X32" s="184"/>
      <c r="Y32" s="184"/>
      <c r="Z32" s="338"/>
      <c r="AA32" s="184"/>
      <c r="AB32" s="184"/>
      <c r="AC32" s="184"/>
    </row>
    <row r="33" spans="1:29" ht="13.5" thickBot="1">
      <c r="A33" s="20" t="s">
        <v>41</v>
      </c>
      <c r="B33" s="78" t="s">
        <v>258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0.7</v>
      </c>
      <c r="N33" s="338"/>
      <c r="O33" s="184"/>
      <c r="P33" s="184"/>
      <c r="Q33" s="184"/>
      <c r="R33" s="338"/>
      <c r="S33" s="184"/>
      <c r="T33" s="184"/>
      <c r="U33" s="184"/>
      <c r="V33" s="338"/>
      <c r="W33" s="184"/>
      <c r="X33" s="184"/>
      <c r="Y33" s="184"/>
      <c r="Z33" s="338"/>
      <c r="AA33" s="184"/>
      <c r="AB33" s="184"/>
      <c r="AC33" s="184"/>
    </row>
    <row r="34" spans="1:29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1217.5</v>
      </c>
      <c r="L34" s="43">
        <f aca="true" t="shared" si="4" ref="L34:AC34">L35+L36+L37</f>
        <v>0</v>
      </c>
      <c r="M34" s="43">
        <f t="shared" si="4"/>
        <v>0</v>
      </c>
      <c r="N34" s="341">
        <f t="shared" si="4"/>
        <v>0</v>
      </c>
      <c r="O34" s="43">
        <f t="shared" si="4"/>
        <v>0</v>
      </c>
      <c r="P34" s="43">
        <f t="shared" si="4"/>
        <v>0</v>
      </c>
      <c r="Q34" s="43">
        <f t="shared" si="4"/>
        <v>0</v>
      </c>
      <c r="R34" s="341">
        <f t="shared" si="4"/>
        <v>0</v>
      </c>
      <c r="S34" s="43">
        <f t="shared" si="4"/>
        <v>0</v>
      </c>
      <c r="T34" s="43">
        <f t="shared" si="4"/>
        <v>0</v>
      </c>
      <c r="U34" s="43">
        <f t="shared" si="4"/>
        <v>0</v>
      </c>
      <c r="V34" s="341">
        <f t="shared" si="4"/>
        <v>0</v>
      </c>
      <c r="W34" s="43">
        <f t="shared" si="4"/>
        <v>0</v>
      </c>
      <c r="X34" s="43">
        <f t="shared" si="4"/>
        <v>0</v>
      </c>
      <c r="Y34" s="43">
        <f t="shared" si="4"/>
        <v>0</v>
      </c>
      <c r="Z34" s="341">
        <f t="shared" si="4"/>
        <v>0</v>
      </c>
      <c r="AA34" s="43">
        <f t="shared" si="4"/>
        <v>0</v>
      </c>
      <c r="AB34" s="43">
        <f t="shared" si="4"/>
        <v>0</v>
      </c>
      <c r="AC34" s="43">
        <f t="shared" si="4"/>
        <v>0</v>
      </c>
    </row>
    <row r="35" spans="1:29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84.4</v>
      </c>
      <c r="N35" s="338"/>
      <c r="O35" s="184"/>
      <c r="P35" s="184"/>
      <c r="Q35" s="184"/>
      <c r="R35" s="338"/>
      <c r="S35" s="184"/>
      <c r="T35" s="184"/>
      <c r="U35" s="184"/>
      <c r="V35" s="338"/>
      <c r="W35" s="184"/>
      <c r="X35" s="184"/>
      <c r="Y35" s="184"/>
      <c r="Z35" s="338"/>
      <c r="AA35" s="184"/>
      <c r="AB35" s="184"/>
      <c r="AC35" s="184"/>
    </row>
    <row r="36" spans="1:29" ht="0.75" customHeigh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N36" s="338"/>
      <c r="O36" s="184"/>
      <c r="P36" s="184"/>
      <c r="Q36" s="184"/>
      <c r="R36" s="338"/>
      <c r="S36" s="184"/>
      <c r="T36" s="184"/>
      <c r="U36" s="184"/>
      <c r="V36" s="338"/>
      <c r="W36" s="184"/>
      <c r="X36" s="184"/>
      <c r="Y36" s="184"/>
      <c r="Z36" s="338"/>
      <c r="AA36" s="184"/>
      <c r="AB36" s="184"/>
      <c r="AC36" s="184"/>
    </row>
    <row r="37" spans="1:29" ht="12.75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1133.1</v>
      </c>
      <c r="N37" s="338"/>
      <c r="O37" s="184"/>
      <c r="P37" s="184"/>
      <c r="Q37" s="184"/>
      <c r="R37" s="338"/>
      <c r="S37" s="184"/>
      <c r="T37" s="184"/>
      <c r="U37" s="184"/>
      <c r="V37" s="338"/>
      <c r="W37" s="184"/>
      <c r="X37" s="184"/>
      <c r="Y37" s="184"/>
      <c r="Z37" s="338"/>
      <c r="AA37" s="184"/>
      <c r="AB37" s="184"/>
      <c r="AC37" s="184"/>
    </row>
    <row r="38" spans="1:29" ht="0.75" customHeight="1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342">
        <f>N39+N40</f>
        <v>0</v>
      </c>
      <c r="O38" s="51"/>
      <c r="P38" s="51"/>
      <c r="Q38" s="51"/>
      <c r="R38" s="342">
        <f>R39+R40</f>
        <v>0</v>
      </c>
      <c r="S38" s="51"/>
      <c r="T38" s="51"/>
      <c r="U38" s="51"/>
      <c r="V38" s="342">
        <f>V39+V40</f>
        <v>0</v>
      </c>
      <c r="W38" s="51"/>
      <c r="X38" s="51"/>
      <c r="Y38" s="51"/>
      <c r="Z38" s="342">
        <f>Z39+Z40</f>
        <v>0</v>
      </c>
      <c r="AA38" s="51"/>
      <c r="AB38" s="51"/>
      <c r="AC38" s="51"/>
    </row>
    <row r="39" spans="1:29" ht="24.7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N39" s="338"/>
      <c r="O39" s="184"/>
      <c r="P39" s="184"/>
      <c r="Q39" s="184"/>
      <c r="R39" s="338"/>
      <c r="S39" s="184"/>
      <c r="T39" s="184"/>
      <c r="U39" s="184"/>
      <c r="V39" s="338"/>
      <c r="W39" s="184"/>
      <c r="X39" s="184"/>
      <c r="Y39" s="184"/>
      <c r="Z39" s="338"/>
      <c r="AA39" s="184"/>
      <c r="AB39" s="184"/>
      <c r="AC39" s="184"/>
    </row>
    <row r="40" spans="1:29" ht="24" customHeight="1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N40" s="338"/>
      <c r="O40" s="184"/>
      <c r="P40" s="184"/>
      <c r="Q40" s="184"/>
      <c r="R40" s="338"/>
      <c r="S40" s="184"/>
      <c r="T40" s="184"/>
      <c r="U40" s="184"/>
      <c r="V40" s="338"/>
      <c r="W40" s="184"/>
      <c r="X40" s="184"/>
      <c r="Y40" s="184"/>
      <c r="Z40" s="338"/>
      <c r="AA40" s="184"/>
      <c r="AB40" s="184"/>
      <c r="AC40" s="184"/>
    </row>
    <row r="41" spans="1:29" ht="3" customHeight="1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343">
        <f>N43+N45+N46+N44</f>
        <v>0</v>
      </c>
      <c r="O41" s="124"/>
      <c r="P41" s="124"/>
      <c r="Q41" s="124"/>
      <c r="R41" s="343">
        <f>R43+R45+R46+R44</f>
        <v>0</v>
      </c>
      <c r="S41" s="124"/>
      <c r="T41" s="124"/>
      <c r="U41" s="124"/>
      <c r="V41" s="343">
        <f>V43+V45+V46+V44</f>
        <v>0</v>
      </c>
      <c r="W41" s="124"/>
      <c r="X41" s="124"/>
      <c r="Y41" s="124"/>
      <c r="Z41" s="343">
        <f>Z43+Z45+Z46+Z44</f>
        <v>0</v>
      </c>
      <c r="AA41" s="124"/>
      <c r="AB41" s="124"/>
      <c r="AC41" s="124"/>
    </row>
    <row r="42" spans="1:29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N42" s="338"/>
      <c r="O42" s="184"/>
      <c r="P42" s="184"/>
      <c r="Q42" s="184"/>
      <c r="R42" s="338"/>
      <c r="S42" s="184"/>
      <c r="T42" s="184"/>
      <c r="U42" s="184"/>
      <c r="V42" s="338"/>
      <c r="W42" s="184"/>
      <c r="X42" s="184"/>
      <c r="Y42" s="184"/>
      <c r="Z42" s="338"/>
      <c r="AA42" s="184"/>
      <c r="AB42" s="184"/>
      <c r="AC42" s="184"/>
    </row>
    <row r="43" spans="1:29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N43" s="338"/>
      <c r="O43" s="184"/>
      <c r="P43" s="184"/>
      <c r="Q43" s="184"/>
      <c r="R43" s="338"/>
      <c r="S43" s="184"/>
      <c r="T43" s="184"/>
      <c r="U43" s="184"/>
      <c r="V43" s="338"/>
      <c r="W43" s="184"/>
      <c r="X43" s="184"/>
      <c r="Y43" s="184"/>
      <c r="Z43" s="338"/>
      <c r="AA43" s="184"/>
      <c r="AB43" s="184"/>
      <c r="AC43" s="184"/>
    </row>
    <row r="44" spans="1:29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N44" s="338"/>
      <c r="O44" s="184"/>
      <c r="P44" s="184"/>
      <c r="Q44" s="184"/>
      <c r="R44" s="338"/>
      <c r="S44" s="184"/>
      <c r="T44" s="184"/>
      <c r="U44" s="184"/>
      <c r="V44" s="338"/>
      <c r="W44" s="184"/>
      <c r="X44" s="184"/>
      <c r="Y44" s="184"/>
      <c r="Z44" s="338"/>
      <c r="AA44" s="184"/>
      <c r="AB44" s="184"/>
      <c r="AC44" s="184"/>
    </row>
    <row r="45" spans="1:29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N45" s="338"/>
      <c r="O45" s="184"/>
      <c r="P45" s="184"/>
      <c r="Q45" s="184"/>
      <c r="R45" s="338"/>
      <c r="S45" s="184"/>
      <c r="T45" s="184"/>
      <c r="U45" s="184"/>
      <c r="V45" s="338"/>
      <c r="W45" s="184"/>
      <c r="X45" s="184"/>
      <c r="Y45" s="184"/>
      <c r="Z45" s="338"/>
      <c r="AA45" s="184"/>
      <c r="AB45" s="184"/>
      <c r="AC45" s="184"/>
    </row>
    <row r="46" spans="1:29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N46" s="338"/>
      <c r="O46" s="184"/>
      <c r="P46" s="184"/>
      <c r="Q46" s="184"/>
      <c r="R46" s="338"/>
      <c r="S46" s="184"/>
      <c r="T46" s="184"/>
      <c r="U46" s="184"/>
      <c r="V46" s="338"/>
      <c r="W46" s="184"/>
      <c r="X46" s="184"/>
      <c r="Y46" s="184"/>
      <c r="Z46" s="338"/>
      <c r="AA46" s="184"/>
      <c r="AB46" s="184"/>
      <c r="AC46" s="184"/>
    </row>
    <row r="47" spans="1:29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42">
        <f>K49+K53</f>
        <v>423</v>
      </c>
      <c r="L47" s="142">
        <f aca="true" t="shared" si="5" ref="L47:AC47">L49+L53</f>
        <v>0</v>
      </c>
      <c r="M47" s="142">
        <f t="shared" si="5"/>
        <v>0</v>
      </c>
      <c r="N47" s="344">
        <f t="shared" si="5"/>
        <v>0</v>
      </c>
      <c r="O47" s="142">
        <f t="shared" si="5"/>
        <v>0</v>
      </c>
      <c r="P47" s="142">
        <f t="shared" si="5"/>
        <v>0</v>
      </c>
      <c r="Q47" s="142">
        <f t="shared" si="5"/>
        <v>0</v>
      </c>
      <c r="R47" s="344">
        <f t="shared" si="5"/>
        <v>0</v>
      </c>
      <c r="S47" s="142">
        <f t="shared" si="5"/>
        <v>0</v>
      </c>
      <c r="T47" s="142">
        <f t="shared" si="5"/>
        <v>0</v>
      </c>
      <c r="U47" s="142">
        <f t="shared" si="5"/>
        <v>0</v>
      </c>
      <c r="V47" s="344">
        <f t="shared" si="5"/>
        <v>0</v>
      </c>
      <c r="W47" s="142">
        <f t="shared" si="5"/>
        <v>0</v>
      </c>
      <c r="X47" s="142">
        <f t="shared" si="5"/>
        <v>0</v>
      </c>
      <c r="Y47" s="142">
        <f t="shared" si="5"/>
        <v>0</v>
      </c>
      <c r="Z47" s="344">
        <f t="shared" si="5"/>
        <v>0</v>
      </c>
      <c r="AA47" s="142">
        <f t="shared" si="5"/>
        <v>0</v>
      </c>
      <c r="AB47" s="142">
        <f t="shared" si="5"/>
        <v>0</v>
      </c>
      <c r="AC47" s="142">
        <f t="shared" si="5"/>
        <v>0</v>
      </c>
    </row>
    <row r="48" spans="1:29" ht="12.75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134"/>
      <c r="N48" s="338"/>
      <c r="O48" s="184"/>
      <c r="P48" s="184"/>
      <c r="Q48" s="184"/>
      <c r="R48" s="338"/>
      <c r="S48" s="184"/>
      <c r="T48" s="184"/>
      <c r="U48" s="184"/>
      <c r="V48" s="338"/>
      <c r="W48" s="184"/>
      <c r="X48" s="184"/>
      <c r="Y48" s="184"/>
      <c r="Z48" s="338"/>
      <c r="AA48" s="184"/>
      <c r="AB48" s="184"/>
      <c r="AC48" s="184"/>
    </row>
    <row r="49" spans="1:29" s="116" customFormat="1" ht="21" customHeight="1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423</v>
      </c>
      <c r="L49" s="121">
        <f aca="true" t="shared" si="6" ref="L49:Z49">L50</f>
        <v>0</v>
      </c>
      <c r="M49" s="121">
        <f t="shared" si="6"/>
        <v>0</v>
      </c>
      <c r="N49" s="345">
        <f t="shared" si="6"/>
        <v>0</v>
      </c>
      <c r="O49" s="121">
        <f t="shared" si="6"/>
        <v>0</v>
      </c>
      <c r="P49" s="121">
        <f t="shared" si="6"/>
        <v>0</v>
      </c>
      <c r="Q49" s="121">
        <f t="shared" si="6"/>
        <v>0</v>
      </c>
      <c r="R49" s="345">
        <f t="shared" si="6"/>
        <v>0</v>
      </c>
      <c r="S49" s="121">
        <f t="shared" si="6"/>
        <v>0</v>
      </c>
      <c r="T49" s="121">
        <f t="shared" si="6"/>
        <v>0</v>
      </c>
      <c r="U49" s="121">
        <f t="shared" si="6"/>
        <v>0</v>
      </c>
      <c r="V49" s="345">
        <f t="shared" si="6"/>
        <v>0</v>
      </c>
      <c r="W49" s="121">
        <f t="shared" si="6"/>
        <v>0</v>
      </c>
      <c r="X49" s="121">
        <f t="shared" si="6"/>
        <v>0</v>
      </c>
      <c r="Y49" s="121">
        <f t="shared" si="6"/>
        <v>0</v>
      </c>
      <c r="Z49" s="345">
        <f t="shared" si="6"/>
        <v>0</v>
      </c>
      <c r="AA49" s="121"/>
      <c r="AB49" s="121"/>
      <c r="AC49" s="121"/>
    </row>
    <row r="50" spans="1:29" s="119" customFormat="1" ht="22.5" customHeight="1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18">
        <v>423</v>
      </c>
      <c r="N50" s="346"/>
      <c r="O50" s="186"/>
      <c r="P50" s="186"/>
      <c r="Q50" s="186"/>
      <c r="R50" s="346"/>
      <c r="S50" s="186"/>
      <c r="T50" s="186"/>
      <c r="U50" s="186"/>
      <c r="V50" s="346"/>
      <c r="W50" s="186"/>
      <c r="X50" s="186"/>
      <c r="Y50" s="186"/>
      <c r="Z50" s="346"/>
      <c r="AA50" s="186"/>
      <c r="AB50" s="186"/>
      <c r="AC50" s="186"/>
    </row>
    <row r="51" spans="1:29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N51" s="338"/>
      <c r="O51" s="184"/>
      <c r="P51" s="184"/>
      <c r="Q51" s="184"/>
      <c r="R51" s="338"/>
      <c r="S51" s="184"/>
      <c r="T51" s="184"/>
      <c r="U51" s="184"/>
      <c r="V51" s="338"/>
      <c r="W51" s="184"/>
      <c r="X51" s="184"/>
      <c r="Y51" s="184"/>
      <c r="Z51" s="338"/>
      <c r="AA51" s="184"/>
      <c r="AB51" s="184"/>
      <c r="AC51" s="184"/>
    </row>
    <row r="52" spans="1:29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N52" s="338"/>
      <c r="O52" s="184"/>
      <c r="P52" s="184"/>
      <c r="Q52" s="184"/>
      <c r="R52" s="338"/>
      <c r="S52" s="184"/>
      <c r="T52" s="184"/>
      <c r="U52" s="184"/>
      <c r="V52" s="338"/>
      <c r="W52" s="184"/>
      <c r="X52" s="184"/>
      <c r="Y52" s="184"/>
      <c r="Z52" s="338"/>
      <c r="AA52" s="184"/>
      <c r="AB52" s="184"/>
      <c r="AC52" s="184"/>
    </row>
    <row r="53" spans="1:29" s="116" customFormat="1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0</v>
      </c>
      <c r="L53" s="121">
        <f>L54</f>
        <v>0</v>
      </c>
      <c r="M53" s="121">
        <f>M54</f>
        <v>0</v>
      </c>
      <c r="N53" s="345">
        <f>N54</f>
        <v>0</v>
      </c>
      <c r="O53" s="184"/>
      <c r="P53" s="184"/>
      <c r="Q53" s="184"/>
      <c r="R53" s="345">
        <f>R54</f>
        <v>0</v>
      </c>
      <c r="S53" s="184"/>
      <c r="T53" s="184"/>
      <c r="U53" s="184"/>
      <c r="V53" s="345"/>
      <c r="W53" s="184"/>
      <c r="X53" s="184"/>
      <c r="Y53" s="184"/>
      <c r="Z53" s="345">
        <f>Z54</f>
        <v>0</v>
      </c>
      <c r="AA53" s="184"/>
      <c r="AB53" s="184"/>
      <c r="AC53" s="184"/>
    </row>
    <row r="54" spans="1:29" ht="22.5" customHeight="1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/>
      <c r="N54" s="338"/>
      <c r="O54" s="184"/>
      <c r="P54" s="184"/>
      <c r="Q54" s="184"/>
      <c r="R54" s="338"/>
      <c r="S54" s="184"/>
      <c r="T54" s="184"/>
      <c r="U54" s="184"/>
      <c r="V54" s="338"/>
      <c r="W54" s="184"/>
      <c r="X54" s="184"/>
      <c r="Y54" s="184"/>
      <c r="Z54" s="338"/>
      <c r="AA54" s="184"/>
      <c r="AB54" s="184"/>
      <c r="AC54" s="184"/>
    </row>
    <row r="55" spans="1:29" ht="3.75" customHeight="1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K56+K58</f>
        <v>0</v>
      </c>
      <c r="L55" s="43">
        <f>L56+L58</f>
        <v>0</v>
      </c>
      <c r="M55" s="43">
        <f>M56+M58</f>
        <v>0</v>
      </c>
      <c r="N55" s="341">
        <f>N56+N58</f>
        <v>0</v>
      </c>
      <c r="O55" s="43"/>
      <c r="P55" s="43"/>
      <c r="Q55" s="43"/>
      <c r="R55" s="341">
        <f>R56+R58</f>
        <v>0</v>
      </c>
      <c r="S55" s="43"/>
      <c r="T55" s="43"/>
      <c r="U55" s="43"/>
      <c r="V55" s="341">
        <f>V56+V58</f>
        <v>0</v>
      </c>
      <c r="W55" s="43"/>
      <c r="X55" s="43"/>
      <c r="Y55" s="43"/>
      <c r="Z55" s="341">
        <f>Z56+Z58</f>
        <v>0</v>
      </c>
      <c r="AA55" s="43"/>
      <c r="AB55" s="43"/>
      <c r="AC55" s="43"/>
    </row>
    <row r="56" spans="1:29" s="116" customFormat="1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121">
        <v>0</v>
      </c>
      <c r="N56" s="347"/>
      <c r="O56" s="185"/>
      <c r="P56" s="185"/>
      <c r="Q56" s="185"/>
      <c r="R56" s="347"/>
      <c r="S56" s="185"/>
      <c r="T56" s="185"/>
      <c r="U56" s="185"/>
      <c r="V56" s="347"/>
      <c r="W56" s="185"/>
      <c r="X56" s="185"/>
      <c r="Y56" s="185"/>
      <c r="Z56" s="347"/>
      <c r="AA56" s="185"/>
      <c r="AB56" s="185"/>
      <c r="AC56" s="185"/>
    </row>
    <row r="57" spans="1:29" s="116" customFormat="1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121">
        <f>K58+K59+K60</f>
        <v>0</v>
      </c>
      <c r="N57" s="347"/>
      <c r="O57" s="185"/>
      <c r="P57" s="185"/>
      <c r="Q57" s="185"/>
      <c r="R57" s="347"/>
      <c r="S57" s="185"/>
      <c r="T57" s="185"/>
      <c r="U57" s="185"/>
      <c r="V57" s="347"/>
      <c r="W57" s="185"/>
      <c r="X57" s="185"/>
      <c r="Y57" s="185"/>
      <c r="Z57" s="347"/>
      <c r="AA57" s="185"/>
      <c r="AB57" s="185"/>
      <c r="AC57" s="185"/>
    </row>
    <row r="58" spans="1:29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N58" s="338"/>
      <c r="O58" s="184"/>
      <c r="P58" s="184"/>
      <c r="Q58" s="184"/>
      <c r="R58" s="338"/>
      <c r="S58" s="184"/>
      <c r="T58" s="184"/>
      <c r="U58" s="184"/>
      <c r="V58" s="338"/>
      <c r="W58" s="184"/>
      <c r="X58" s="184"/>
      <c r="Y58" s="184"/>
      <c r="Z58" s="338"/>
      <c r="AA58" s="184"/>
      <c r="AB58" s="184"/>
      <c r="AC58" s="184"/>
    </row>
    <row r="59" spans="1:29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N59" s="338"/>
      <c r="O59" s="184"/>
      <c r="P59" s="184"/>
      <c r="Q59" s="184"/>
      <c r="R59" s="338"/>
      <c r="S59" s="184"/>
      <c r="T59" s="184"/>
      <c r="U59" s="184"/>
      <c r="V59" s="338"/>
      <c r="W59" s="184"/>
      <c r="X59" s="184"/>
      <c r="Y59" s="184"/>
      <c r="Z59" s="338"/>
      <c r="AA59" s="184"/>
      <c r="AB59" s="184"/>
      <c r="AC59" s="184"/>
    </row>
    <row r="60" spans="1:29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N60" s="338"/>
      <c r="O60" s="184"/>
      <c r="P60" s="184"/>
      <c r="Q60" s="184"/>
      <c r="R60" s="338"/>
      <c r="S60" s="184"/>
      <c r="T60" s="184"/>
      <c r="U60" s="184"/>
      <c r="V60" s="338"/>
      <c r="W60" s="184"/>
      <c r="X60" s="184"/>
      <c r="Y60" s="184"/>
      <c r="Z60" s="338"/>
      <c r="AA60" s="184"/>
      <c r="AB60" s="184"/>
      <c r="AC60" s="184"/>
    </row>
    <row r="61" spans="1:29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348">
        <f>N62</f>
        <v>0</v>
      </c>
      <c r="O61" s="68"/>
      <c r="P61" s="68"/>
      <c r="Q61" s="68"/>
      <c r="R61" s="348">
        <f>R62</f>
        <v>0</v>
      </c>
      <c r="S61" s="68"/>
      <c r="T61" s="68"/>
      <c r="U61" s="68"/>
      <c r="V61" s="348">
        <f>V62</f>
        <v>0</v>
      </c>
      <c r="W61" s="68"/>
      <c r="X61" s="68"/>
      <c r="Y61" s="68"/>
      <c r="Z61" s="348">
        <f>Z62</f>
        <v>0</v>
      </c>
      <c r="AA61" s="68"/>
      <c r="AB61" s="68"/>
      <c r="AC61" s="68"/>
    </row>
    <row r="62" spans="1:29" s="131" customFormat="1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30">
        <f>K63</f>
        <v>0</v>
      </c>
      <c r="N62" s="349"/>
      <c r="O62" s="187"/>
      <c r="P62" s="187"/>
      <c r="Q62" s="187"/>
      <c r="R62" s="349"/>
      <c r="S62" s="187"/>
      <c r="T62" s="187"/>
      <c r="U62" s="187"/>
      <c r="V62" s="349"/>
      <c r="W62" s="187"/>
      <c r="X62" s="187"/>
      <c r="Y62" s="187"/>
      <c r="Z62" s="349"/>
      <c r="AA62" s="187"/>
      <c r="AB62" s="187"/>
      <c r="AC62" s="187"/>
    </row>
    <row r="63" spans="1:29" ht="36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N63" s="338"/>
      <c r="O63" s="184"/>
      <c r="P63" s="184"/>
      <c r="Q63" s="184"/>
      <c r="R63" s="338"/>
      <c r="S63" s="184"/>
      <c r="T63" s="184"/>
      <c r="U63" s="184"/>
      <c r="V63" s="338"/>
      <c r="W63" s="184"/>
      <c r="X63" s="184"/>
      <c r="Y63" s="184"/>
      <c r="Z63" s="338"/>
      <c r="AA63" s="184"/>
      <c r="AB63" s="184"/>
      <c r="AC63" s="184"/>
    </row>
    <row r="64" spans="1:29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L64" s="51">
        <v>0</v>
      </c>
      <c r="M64" s="51">
        <v>0</v>
      </c>
      <c r="N64" s="342"/>
      <c r="O64" s="51"/>
      <c r="P64" s="51"/>
      <c r="Q64" s="51"/>
      <c r="R64" s="342"/>
      <c r="S64" s="51"/>
      <c r="T64" s="51"/>
      <c r="U64" s="51"/>
      <c r="V64" s="342"/>
      <c r="W64" s="51"/>
      <c r="X64" s="51"/>
      <c r="Y64" s="51"/>
      <c r="Z64" s="342"/>
      <c r="AA64" s="51"/>
      <c r="AB64" s="51"/>
      <c r="AC64" s="51"/>
    </row>
    <row r="65" spans="1:29" ht="31.5" customHeight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N65" s="338"/>
      <c r="O65" s="184"/>
      <c r="P65" s="184"/>
      <c r="Q65" s="184"/>
      <c r="R65" s="338"/>
      <c r="S65" s="184"/>
      <c r="T65" s="184"/>
      <c r="U65" s="184"/>
      <c r="V65" s="338"/>
      <c r="W65" s="184"/>
      <c r="X65" s="184"/>
      <c r="Y65" s="184"/>
      <c r="Z65" s="338"/>
      <c r="AA65" s="184"/>
      <c r="AB65" s="184"/>
      <c r="AC65" s="184"/>
    </row>
    <row r="66" spans="1:29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 aca="true" t="shared" si="7" ref="K66:AC66">K69+K71+K72+K83+K90+K91</f>
        <v>0</v>
      </c>
      <c r="L66" s="43">
        <f t="shared" si="7"/>
        <v>0</v>
      </c>
      <c r="M66" s="43">
        <f t="shared" si="7"/>
        <v>0</v>
      </c>
      <c r="N66" s="341">
        <f t="shared" si="7"/>
        <v>0</v>
      </c>
      <c r="O66" s="43">
        <f t="shared" si="7"/>
        <v>0</v>
      </c>
      <c r="P66" s="43">
        <f t="shared" si="7"/>
        <v>0</v>
      </c>
      <c r="Q66" s="43">
        <f t="shared" si="7"/>
        <v>0</v>
      </c>
      <c r="R66" s="341">
        <f t="shared" si="7"/>
        <v>0</v>
      </c>
      <c r="S66" s="43">
        <f t="shared" si="7"/>
        <v>0</v>
      </c>
      <c r="T66" s="43">
        <f t="shared" si="7"/>
        <v>0</v>
      </c>
      <c r="U66" s="43">
        <f t="shared" si="7"/>
        <v>0</v>
      </c>
      <c r="V66" s="341">
        <f t="shared" si="7"/>
        <v>0</v>
      </c>
      <c r="W66" s="43">
        <f t="shared" si="7"/>
        <v>0</v>
      </c>
      <c r="X66" s="43">
        <f t="shared" si="7"/>
        <v>0</v>
      </c>
      <c r="Y66" s="43">
        <f t="shared" si="7"/>
        <v>0</v>
      </c>
      <c r="Z66" s="341">
        <f t="shared" si="7"/>
        <v>0</v>
      </c>
      <c r="AA66" s="43">
        <f t="shared" si="7"/>
        <v>0</v>
      </c>
      <c r="AB66" s="43">
        <f t="shared" si="7"/>
        <v>0</v>
      </c>
      <c r="AC66" s="43">
        <f t="shared" si="7"/>
        <v>0</v>
      </c>
    </row>
    <row r="67" spans="1:29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N67" s="338"/>
      <c r="O67" s="184"/>
      <c r="P67" s="184"/>
      <c r="Q67" s="184"/>
      <c r="R67" s="338"/>
      <c r="S67" s="184"/>
      <c r="T67" s="184"/>
      <c r="U67" s="184"/>
      <c r="V67" s="338"/>
      <c r="W67" s="184"/>
      <c r="X67" s="184"/>
      <c r="Y67" s="184"/>
      <c r="Z67" s="338"/>
      <c r="AA67" s="184"/>
      <c r="AB67" s="184"/>
      <c r="AC67" s="184"/>
    </row>
    <row r="68" spans="1:29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0</v>
      </c>
      <c r="L68" s="45">
        <f aca="true" t="shared" si="8" ref="L68:AC68">L69+L70+L71</f>
        <v>0</v>
      </c>
      <c r="M68" s="45">
        <f t="shared" si="8"/>
        <v>0</v>
      </c>
      <c r="N68" s="340">
        <f t="shared" si="8"/>
        <v>0</v>
      </c>
      <c r="O68" s="45">
        <f t="shared" si="8"/>
        <v>0</v>
      </c>
      <c r="P68" s="45">
        <f t="shared" si="8"/>
        <v>0</v>
      </c>
      <c r="Q68" s="45">
        <f t="shared" si="8"/>
        <v>0</v>
      </c>
      <c r="R68" s="340">
        <f t="shared" si="8"/>
        <v>0</v>
      </c>
      <c r="S68" s="45">
        <f t="shared" si="8"/>
        <v>0</v>
      </c>
      <c r="T68" s="45">
        <f t="shared" si="8"/>
        <v>0</v>
      </c>
      <c r="U68" s="45">
        <f t="shared" si="8"/>
        <v>0</v>
      </c>
      <c r="V68" s="340">
        <f t="shared" si="8"/>
        <v>0</v>
      </c>
      <c r="W68" s="45">
        <f t="shared" si="8"/>
        <v>0</v>
      </c>
      <c r="X68" s="45">
        <f t="shared" si="8"/>
        <v>0</v>
      </c>
      <c r="Y68" s="45">
        <f t="shared" si="8"/>
        <v>0</v>
      </c>
      <c r="Z68" s="340">
        <f t="shared" si="8"/>
        <v>0</v>
      </c>
      <c r="AA68" s="45">
        <f t="shared" si="8"/>
        <v>0</v>
      </c>
      <c r="AB68" s="45">
        <f t="shared" si="8"/>
        <v>0</v>
      </c>
      <c r="AC68" s="45">
        <f t="shared" si="8"/>
        <v>0</v>
      </c>
    </row>
    <row r="69" spans="1:29" s="119" customFormat="1" ht="25.5" customHeight="1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18"/>
      <c r="N69" s="346"/>
      <c r="O69" s="186"/>
      <c r="P69" s="186"/>
      <c r="Q69" s="186"/>
      <c r="R69" s="346"/>
      <c r="S69" s="186"/>
      <c r="T69" s="186"/>
      <c r="U69" s="186"/>
      <c r="V69" s="346"/>
      <c r="W69" s="186"/>
      <c r="X69" s="186"/>
      <c r="Y69" s="186"/>
      <c r="Z69" s="346"/>
      <c r="AA69" s="186"/>
      <c r="AB69" s="186"/>
      <c r="AC69" s="186"/>
    </row>
    <row r="70" spans="1:29" s="119" customFormat="1" ht="36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18">
        <v>0</v>
      </c>
      <c r="N70" s="346"/>
      <c r="O70" s="186"/>
      <c r="P70" s="186"/>
      <c r="Q70" s="186"/>
      <c r="R70" s="346"/>
      <c r="S70" s="186"/>
      <c r="T70" s="186"/>
      <c r="U70" s="186"/>
      <c r="V70" s="346"/>
      <c r="W70" s="186"/>
      <c r="X70" s="186"/>
      <c r="Y70" s="186"/>
      <c r="Z70" s="346"/>
      <c r="AA70" s="186"/>
      <c r="AB70" s="186"/>
      <c r="AC70" s="186"/>
    </row>
    <row r="71" spans="1:29" s="119" customFormat="1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18">
        <v>0</v>
      </c>
      <c r="N71" s="346"/>
      <c r="O71" s="186"/>
      <c r="P71" s="186"/>
      <c r="Q71" s="186"/>
      <c r="R71" s="346"/>
      <c r="S71" s="186"/>
      <c r="T71" s="186"/>
      <c r="U71" s="186"/>
      <c r="V71" s="346"/>
      <c r="W71" s="186"/>
      <c r="X71" s="186"/>
      <c r="Y71" s="186"/>
      <c r="Z71" s="346"/>
      <c r="AA71" s="186"/>
      <c r="AB71" s="186"/>
      <c r="AC71" s="186"/>
    </row>
    <row r="72" spans="1:29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340">
        <f>N73+N74+N75+N76+N77+N78+N79+N80+N81</f>
        <v>0</v>
      </c>
      <c r="O72" s="45"/>
      <c r="P72" s="45"/>
      <c r="Q72" s="45"/>
      <c r="R72" s="340">
        <f>R73+R74+R75+R76+R77+R78+R79+R80+R81</f>
        <v>0</v>
      </c>
      <c r="S72" s="45"/>
      <c r="T72" s="45"/>
      <c r="U72" s="45"/>
      <c r="V72" s="340">
        <f>V73+V74+V75+V76+V77+V78+V79+V80+V81</f>
        <v>0</v>
      </c>
      <c r="W72" s="45"/>
      <c r="X72" s="45"/>
      <c r="Y72" s="45"/>
      <c r="Z72" s="340">
        <f>Z73+Z74+Z75+Z76+Z77+Z78+Z79+Z80+Z81</f>
        <v>0</v>
      </c>
      <c r="AA72" s="45"/>
      <c r="AB72" s="45"/>
      <c r="AC72" s="45"/>
    </row>
    <row r="73" spans="1:29" ht="0.75" customHeigh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N73" s="338"/>
      <c r="O73" s="184"/>
      <c r="P73" s="184"/>
      <c r="Q73" s="184"/>
      <c r="R73" s="338"/>
      <c r="S73" s="184"/>
      <c r="T73" s="184"/>
      <c r="U73" s="184"/>
      <c r="V73" s="338"/>
      <c r="W73" s="184"/>
      <c r="X73" s="184"/>
      <c r="Y73" s="184"/>
      <c r="Z73" s="338"/>
      <c r="AA73" s="184"/>
      <c r="AB73" s="184"/>
      <c r="AC73" s="184"/>
    </row>
    <row r="74" spans="1:29" ht="36" hidden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N74" s="338"/>
      <c r="O74" s="184"/>
      <c r="P74" s="184"/>
      <c r="Q74" s="184"/>
      <c r="R74" s="338"/>
      <c r="S74" s="184"/>
      <c r="T74" s="184"/>
      <c r="U74" s="184"/>
      <c r="V74" s="338"/>
      <c r="W74" s="184"/>
      <c r="X74" s="184"/>
      <c r="Y74" s="184"/>
      <c r="Z74" s="338"/>
      <c r="AA74" s="184"/>
      <c r="AB74" s="184"/>
      <c r="AC74" s="184"/>
    </row>
    <row r="75" spans="1:29" ht="33" customHeigh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N75" s="338"/>
      <c r="O75" s="184"/>
      <c r="P75" s="184"/>
      <c r="Q75" s="184"/>
      <c r="R75" s="338"/>
      <c r="S75" s="184"/>
      <c r="T75" s="184"/>
      <c r="U75" s="184"/>
      <c r="V75" s="338"/>
      <c r="W75" s="184"/>
      <c r="X75" s="184"/>
      <c r="Y75" s="184"/>
      <c r="Z75" s="338"/>
      <c r="AA75" s="184"/>
      <c r="AB75" s="184"/>
      <c r="AC75" s="184"/>
    </row>
    <row r="76" spans="1:29" ht="24" hidden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N76" s="338"/>
      <c r="O76" s="184"/>
      <c r="P76" s="184"/>
      <c r="Q76" s="184"/>
      <c r="R76" s="338"/>
      <c r="S76" s="184"/>
      <c r="T76" s="184"/>
      <c r="U76" s="184"/>
      <c r="V76" s="338"/>
      <c r="W76" s="184"/>
      <c r="X76" s="184"/>
      <c r="Y76" s="184"/>
      <c r="Z76" s="338"/>
      <c r="AA76" s="184"/>
      <c r="AB76" s="184"/>
      <c r="AC76" s="184"/>
    </row>
    <row r="77" spans="1:29" ht="48" hidden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N77" s="338"/>
      <c r="O77" s="184"/>
      <c r="P77" s="184"/>
      <c r="Q77" s="184"/>
      <c r="R77" s="338"/>
      <c r="S77" s="184"/>
      <c r="T77" s="184"/>
      <c r="U77" s="184"/>
      <c r="V77" s="338"/>
      <c r="W77" s="184"/>
      <c r="X77" s="184"/>
      <c r="Y77" s="184"/>
      <c r="Z77" s="338"/>
      <c r="AA77" s="184"/>
      <c r="AB77" s="184"/>
      <c r="AC77" s="184"/>
    </row>
    <row r="78" spans="1:29" ht="48" hidden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N78" s="338"/>
      <c r="O78" s="184"/>
      <c r="P78" s="184"/>
      <c r="Q78" s="184"/>
      <c r="R78" s="338"/>
      <c r="S78" s="184"/>
      <c r="T78" s="184"/>
      <c r="U78" s="184"/>
      <c r="V78" s="338"/>
      <c r="W78" s="184"/>
      <c r="X78" s="184"/>
      <c r="Y78" s="184"/>
      <c r="Z78" s="338"/>
      <c r="AA78" s="184"/>
      <c r="AB78" s="184"/>
      <c r="AC78" s="184"/>
    </row>
    <row r="79" spans="1:29" ht="48" hidden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N79" s="338"/>
      <c r="O79" s="184"/>
      <c r="P79" s="184"/>
      <c r="Q79" s="184"/>
      <c r="R79" s="338"/>
      <c r="S79" s="184"/>
      <c r="T79" s="184"/>
      <c r="U79" s="184"/>
      <c r="V79" s="338"/>
      <c r="W79" s="184"/>
      <c r="X79" s="184"/>
      <c r="Y79" s="184"/>
      <c r="Z79" s="338"/>
      <c r="AA79" s="184"/>
      <c r="AB79" s="184"/>
      <c r="AC79" s="184"/>
    </row>
    <row r="80" spans="1:29" ht="35.25" customHeight="1" hidden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N80" s="338"/>
      <c r="O80" s="184"/>
      <c r="P80" s="184"/>
      <c r="Q80" s="184"/>
      <c r="R80" s="338"/>
      <c r="S80" s="184"/>
      <c r="T80" s="184"/>
      <c r="U80" s="184"/>
      <c r="V80" s="338"/>
      <c r="W80" s="184"/>
      <c r="X80" s="184"/>
      <c r="Y80" s="184"/>
      <c r="Z80" s="338"/>
      <c r="AA80" s="184"/>
      <c r="AB80" s="184"/>
      <c r="AC80" s="184"/>
    </row>
    <row r="81" spans="1:29" ht="12.75">
      <c r="A81" s="25"/>
      <c r="B81" s="93" t="s">
        <v>259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N81" s="338"/>
      <c r="O81" s="184"/>
      <c r="P81" s="184"/>
      <c r="Q81" s="184"/>
      <c r="R81" s="338"/>
      <c r="S81" s="184"/>
      <c r="T81" s="184"/>
      <c r="U81" s="184"/>
      <c r="V81" s="338"/>
      <c r="W81" s="184"/>
      <c r="X81" s="184"/>
      <c r="Y81" s="184"/>
      <c r="Z81" s="338"/>
      <c r="AA81" s="184"/>
      <c r="AB81" s="184"/>
      <c r="AC81" s="184"/>
    </row>
    <row r="82" spans="1:29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N82" s="338"/>
      <c r="O82" s="184"/>
      <c r="P82" s="184"/>
      <c r="Q82" s="184"/>
      <c r="R82" s="338"/>
      <c r="S82" s="184"/>
      <c r="T82" s="184"/>
      <c r="U82" s="184"/>
      <c r="V82" s="338"/>
      <c r="W82" s="184"/>
      <c r="X82" s="184"/>
      <c r="Y82" s="184"/>
      <c r="Z82" s="338"/>
      <c r="AA82" s="184"/>
      <c r="AB82" s="184"/>
      <c r="AC82" s="184"/>
    </row>
    <row r="83" spans="1:29" ht="47.25" customHeight="1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340">
        <f>N85+N86+N87+N88+N89</f>
        <v>0</v>
      </c>
      <c r="O83" s="45"/>
      <c r="P83" s="45"/>
      <c r="Q83" s="45"/>
      <c r="R83" s="340">
        <f>R85+R86+R87+R88+R89</f>
        <v>0</v>
      </c>
      <c r="S83" s="45"/>
      <c r="T83" s="45"/>
      <c r="U83" s="45"/>
      <c r="V83" s="340">
        <f>V85+V86+V87+V88+V89</f>
        <v>0</v>
      </c>
      <c r="W83" s="45"/>
      <c r="X83" s="45"/>
      <c r="Y83" s="45"/>
      <c r="Z83" s="340">
        <f>Z85+Z86+Z87+Z88+Z89</f>
        <v>0</v>
      </c>
      <c r="AA83" s="45"/>
      <c r="AB83" s="45"/>
      <c r="AC83" s="45"/>
    </row>
    <row r="84" spans="1:29" ht="29.25" customHeight="1" hidden="1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350"/>
      <c r="O84" s="189"/>
      <c r="P84" s="189"/>
      <c r="Q84" s="189"/>
      <c r="R84" s="350"/>
      <c r="S84" s="189"/>
      <c r="T84" s="189"/>
      <c r="U84" s="189"/>
      <c r="V84" s="350"/>
      <c r="W84" s="189"/>
      <c r="X84" s="189"/>
      <c r="Y84" s="189"/>
      <c r="Z84" s="350"/>
      <c r="AA84" s="189"/>
      <c r="AB84" s="189"/>
      <c r="AC84" s="189"/>
    </row>
    <row r="85" spans="1:29" ht="12.75" hidden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N85" s="338"/>
      <c r="O85" s="184"/>
      <c r="P85" s="184"/>
      <c r="Q85" s="184"/>
      <c r="R85" s="338"/>
      <c r="S85" s="184"/>
      <c r="T85" s="184"/>
      <c r="U85" s="184"/>
      <c r="V85" s="338"/>
      <c r="W85" s="184"/>
      <c r="X85" s="184"/>
      <c r="Y85" s="184"/>
      <c r="Z85" s="338"/>
      <c r="AA85" s="184"/>
      <c r="AB85" s="184"/>
      <c r="AC85" s="184"/>
    </row>
    <row r="86" spans="1:29" ht="12.75" hidden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N86" s="338"/>
      <c r="O86" s="184"/>
      <c r="P86" s="184"/>
      <c r="Q86" s="184"/>
      <c r="R86" s="338"/>
      <c r="S86" s="184"/>
      <c r="T86" s="184"/>
      <c r="U86" s="184"/>
      <c r="V86" s="338"/>
      <c r="W86" s="184"/>
      <c r="X86" s="184"/>
      <c r="Y86" s="184"/>
      <c r="Z86" s="338"/>
      <c r="AA86" s="184"/>
      <c r="AB86" s="184"/>
      <c r="AC86" s="184"/>
    </row>
    <row r="87" spans="1:29" ht="12.75" hidden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N87" s="338"/>
      <c r="O87" s="184"/>
      <c r="P87" s="184"/>
      <c r="Q87" s="184"/>
      <c r="R87" s="338"/>
      <c r="S87" s="184"/>
      <c r="T87" s="184"/>
      <c r="U87" s="184"/>
      <c r="V87" s="338"/>
      <c r="W87" s="184"/>
      <c r="X87" s="184"/>
      <c r="Y87" s="184"/>
      <c r="Z87" s="338"/>
      <c r="AA87" s="184"/>
      <c r="AB87" s="184"/>
      <c r="AC87" s="184"/>
    </row>
    <row r="88" spans="1:29" ht="12.75" hidden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N88" s="338"/>
      <c r="O88" s="184"/>
      <c r="P88" s="184"/>
      <c r="Q88" s="184"/>
      <c r="R88" s="338"/>
      <c r="S88" s="184"/>
      <c r="T88" s="184"/>
      <c r="U88" s="184"/>
      <c r="V88" s="338"/>
      <c r="W88" s="184"/>
      <c r="X88" s="184"/>
      <c r="Y88" s="184"/>
      <c r="Z88" s="338"/>
      <c r="AA88" s="184"/>
      <c r="AB88" s="184"/>
      <c r="AC88" s="184"/>
    </row>
    <row r="89" spans="1:29" ht="12.75" hidden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N89" s="338"/>
      <c r="O89" s="184"/>
      <c r="P89" s="184"/>
      <c r="Q89" s="184"/>
      <c r="R89" s="338"/>
      <c r="S89" s="184"/>
      <c r="T89" s="184"/>
      <c r="U89" s="184"/>
      <c r="V89" s="338"/>
      <c r="W89" s="184"/>
      <c r="X89" s="184"/>
      <c r="Y89" s="184"/>
      <c r="Z89" s="338"/>
      <c r="AA89" s="184"/>
      <c r="AB89" s="184"/>
      <c r="AC89" s="184"/>
    </row>
    <row r="90" spans="1:29" ht="62.25" customHeight="1" thickBot="1">
      <c r="A90" s="27" t="s">
        <v>97</v>
      </c>
      <c r="B90" s="296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/>
      <c r="N90" s="338"/>
      <c r="O90" s="184"/>
      <c r="P90" s="184"/>
      <c r="Q90" s="184"/>
      <c r="R90" s="338"/>
      <c r="S90" s="184"/>
      <c r="T90" s="184"/>
      <c r="U90" s="184"/>
      <c r="V90" s="338"/>
      <c r="W90" s="184"/>
      <c r="X90" s="184"/>
      <c r="Y90" s="184"/>
      <c r="Z90" s="338"/>
      <c r="AA90" s="184"/>
      <c r="AB90" s="184"/>
      <c r="AC90" s="184"/>
    </row>
    <row r="91" spans="1:29" ht="24.75" thickBot="1">
      <c r="A91" s="32" t="s">
        <v>50</v>
      </c>
      <c r="B91" s="297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7">
        <v>0</v>
      </c>
      <c r="N91" s="338"/>
      <c r="O91" s="184"/>
      <c r="P91" s="184"/>
      <c r="Q91" s="184"/>
      <c r="R91" s="338"/>
      <c r="S91" s="184"/>
      <c r="T91" s="184"/>
      <c r="U91" s="184"/>
      <c r="V91" s="338"/>
      <c r="W91" s="184"/>
      <c r="X91" s="184"/>
      <c r="Y91" s="184"/>
      <c r="Z91" s="338"/>
      <c r="AA91" s="184"/>
      <c r="AB91" s="184"/>
      <c r="AC91" s="184"/>
    </row>
    <row r="92" spans="1:30" ht="29.25" customHeight="1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0</v>
      </c>
      <c r="L92" s="43">
        <f>L93+L95</f>
        <v>0</v>
      </c>
      <c r="M92" s="43">
        <f>M93+M95</f>
        <v>0</v>
      </c>
      <c r="N92" s="341">
        <f>N93+N95</f>
        <v>0</v>
      </c>
      <c r="O92" s="43">
        <f aca="true" t="shared" si="9" ref="O92:AC92">O93+O95</f>
        <v>0</v>
      </c>
      <c r="P92" s="43">
        <f t="shared" si="9"/>
        <v>0</v>
      </c>
      <c r="Q92" s="43">
        <f t="shared" si="9"/>
        <v>0</v>
      </c>
      <c r="R92" s="341">
        <f t="shared" si="9"/>
        <v>0</v>
      </c>
      <c r="S92" s="43">
        <f t="shared" si="9"/>
        <v>0</v>
      </c>
      <c r="T92" s="43">
        <f t="shared" si="9"/>
        <v>0</v>
      </c>
      <c r="U92" s="43">
        <f t="shared" si="9"/>
        <v>0</v>
      </c>
      <c r="V92" s="341">
        <f t="shared" si="9"/>
        <v>0</v>
      </c>
      <c r="W92" s="43">
        <f t="shared" si="9"/>
        <v>0</v>
      </c>
      <c r="X92" s="43">
        <f t="shared" si="9"/>
        <v>0</v>
      </c>
      <c r="Y92" s="43">
        <f t="shared" si="9"/>
        <v>0</v>
      </c>
      <c r="Z92" s="341">
        <f t="shared" si="9"/>
        <v>0</v>
      </c>
      <c r="AA92" s="43">
        <f t="shared" si="9"/>
        <v>0</v>
      </c>
      <c r="AB92" s="43">
        <f t="shared" si="9"/>
        <v>0</v>
      </c>
      <c r="AC92" s="43">
        <f t="shared" si="9"/>
        <v>0</v>
      </c>
      <c r="AD92" s="301"/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45"/>
      <c r="L93" s="45">
        <f aca="true" t="shared" si="10" ref="L93:AC93">L94</f>
        <v>0</v>
      </c>
      <c r="M93" s="45">
        <f t="shared" si="10"/>
        <v>0</v>
      </c>
      <c r="N93" s="340">
        <f t="shared" si="10"/>
        <v>0</v>
      </c>
      <c r="O93" s="45">
        <f t="shared" si="10"/>
        <v>0</v>
      </c>
      <c r="P93" s="45">
        <f t="shared" si="10"/>
        <v>0</v>
      </c>
      <c r="Q93" s="45">
        <f t="shared" si="10"/>
        <v>0</v>
      </c>
      <c r="R93" s="340">
        <f t="shared" si="10"/>
        <v>0</v>
      </c>
      <c r="S93" s="45">
        <f t="shared" si="10"/>
        <v>0</v>
      </c>
      <c r="T93" s="45">
        <f t="shared" si="10"/>
        <v>0</v>
      </c>
      <c r="U93" s="45">
        <f t="shared" si="10"/>
        <v>0</v>
      </c>
      <c r="V93" s="340">
        <f t="shared" si="10"/>
        <v>0</v>
      </c>
      <c r="W93" s="45">
        <f t="shared" si="10"/>
        <v>0</v>
      </c>
      <c r="X93" s="45">
        <f t="shared" si="10"/>
        <v>0</v>
      </c>
      <c r="Y93" s="45">
        <f t="shared" si="10"/>
        <v>0</v>
      </c>
      <c r="Z93" s="340">
        <f t="shared" si="10"/>
        <v>0</v>
      </c>
      <c r="AA93" s="45">
        <f t="shared" si="10"/>
        <v>0</v>
      </c>
      <c r="AB93" s="45">
        <f t="shared" si="10"/>
        <v>0</v>
      </c>
      <c r="AC93" s="45">
        <f t="shared" si="10"/>
        <v>0</v>
      </c>
      <c r="AD93" s="301"/>
    </row>
    <row r="94" spans="1:30" ht="25.5" customHeigh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47"/>
      <c r="N94" s="338"/>
      <c r="O94" s="184"/>
      <c r="P94" s="184"/>
      <c r="Q94" s="184"/>
      <c r="R94" s="338"/>
      <c r="S94" s="184"/>
      <c r="T94" s="184"/>
      <c r="U94" s="184"/>
      <c r="V94" s="338"/>
      <c r="W94" s="184"/>
      <c r="X94" s="184"/>
      <c r="Y94" s="184"/>
      <c r="Z94" s="338"/>
      <c r="AA94" s="184"/>
      <c r="AB94" s="184"/>
      <c r="AC94" s="184"/>
      <c r="AD94" s="301"/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67">
        <f>K96</f>
        <v>0</v>
      </c>
      <c r="L95" s="67">
        <f aca="true" t="shared" si="11" ref="L95:AC95">L96</f>
        <v>0</v>
      </c>
      <c r="M95" s="67">
        <f t="shared" si="11"/>
        <v>0</v>
      </c>
      <c r="N95" s="351">
        <f t="shared" si="11"/>
        <v>0</v>
      </c>
      <c r="O95" s="67">
        <f t="shared" si="11"/>
        <v>0</v>
      </c>
      <c r="P95" s="67">
        <f t="shared" si="11"/>
        <v>0</v>
      </c>
      <c r="Q95" s="67">
        <f t="shared" si="11"/>
        <v>0</v>
      </c>
      <c r="R95" s="351">
        <f t="shared" si="11"/>
        <v>0</v>
      </c>
      <c r="S95" s="67">
        <f t="shared" si="11"/>
        <v>0</v>
      </c>
      <c r="T95" s="67">
        <f t="shared" si="11"/>
        <v>0</v>
      </c>
      <c r="U95" s="67">
        <f t="shared" si="11"/>
        <v>0</v>
      </c>
      <c r="V95" s="351">
        <f t="shared" si="11"/>
        <v>0</v>
      </c>
      <c r="W95" s="67">
        <f t="shared" si="11"/>
        <v>0</v>
      </c>
      <c r="X95" s="67">
        <f t="shared" si="11"/>
        <v>0</v>
      </c>
      <c r="Y95" s="67">
        <f t="shared" si="11"/>
        <v>0</v>
      </c>
      <c r="Z95" s="351">
        <f t="shared" si="11"/>
        <v>0</v>
      </c>
      <c r="AA95" s="67">
        <f t="shared" si="11"/>
        <v>0</v>
      </c>
      <c r="AB95" s="67">
        <f t="shared" si="11"/>
        <v>0</v>
      </c>
      <c r="AC95" s="67">
        <f t="shared" si="11"/>
        <v>0</v>
      </c>
      <c r="AD95" s="301"/>
    </row>
    <row r="96" spans="1:30" s="119" customFormat="1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40"/>
      <c r="N96" s="346"/>
      <c r="O96" s="186"/>
      <c r="P96" s="186"/>
      <c r="Q96" s="186"/>
      <c r="R96" s="346"/>
      <c r="S96" s="186"/>
      <c r="T96" s="186"/>
      <c r="U96" s="186"/>
      <c r="V96" s="346"/>
      <c r="W96" s="186"/>
      <c r="X96" s="186"/>
      <c r="Y96" s="186"/>
      <c r="Z96" s="346"/>
      <c r="AA96" s="186"/>
      <c r="AB96" s="186"/>
      <c r="AC96" s="186"/>
      <c r="AD96" s="301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10493.400000000001</v>
      </c>
      <c r="L97" s="51">
        <f>L23+L66+L92</f>
        <v>0</v>
      </c>
      <c r="M97" s="51">
        <f>M23+M66+M92</f>
        <v>0</v>
      </c>
      <c r="N97" s="342">
        <f>N23+N66+N92</f>
        <v>17.5</v>
      </c>
      <c r="O97" s="51">
        <f aca="true" t="shared" si="12" ref="O97:AC97">O23+O66+O92</f>
        <v>0</v>
      </c>
      <c r="P97" s="51">
        <f t="shared" si="12"/>
        <v>0</v>
      </c>
      <c r="Q97" s="51">
        <f t="shared" si="12"/>
        <v>0</v>
      </c>
      <c r="R97" s="342">
        <f t="shared" si="12"/>
        <v>0</v>
      </c>
      <c r="S97" s="51">
        <f t="shared" si="12"/>
        <v>0</v>
      </c>
      <c r="T97" s="51">
        <f t="shared" si="12"/>
        <v>0</v>
      </c>
      <c r="U97" s="51">
        <f t="shared" si="12"/>
        <v>0</v>
      </c>
      <c r="V97" s="342">
        <f t="shared" si="12"/>
        <v>0</v>
      </c>
      <c r="W97" s="51">
        <f t="shared" si="12"/>
        <v>0</v>
      </c>
      <c r="X97" s="51">
        <f t="shared" si="12"/>
        <v>0</v>
      </c>
      <c r="Y97" s="51">
        <f t="shared" si="12"/>
        <v>0</v>
      </c>
      <c r="Z97" s="342">
        <f t="shared" si="12"/>
        <v>0</v>
      </c>
      <c r="AA97" s="51">
        <f t="shared" si="12"/>
        <v>0</v>
      </c>
      <c r="AB97" s="51">
        <f t="shared" si="12"/>
        <v>0</v>
      </c>
      <c r="AC97" s="51">
        <f t="shared" si="12"/>
        <v>0</v>
      </c>
      <c r="AD97" s="301"/>
    </row>
    <row r="98" ht="12.75">
      <c r="Z98" s="334">
        <f>SUM(AA97:AC97)</f>
        <v>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14">
      <pane xSplit="9120" topLeftCell="AA1" activePane="topRight" state="split"/>
      <selection pane="topLeft" activeCell="A84" sqref="A84"/>
      <selection pane="topRight" activeCell="W37" sqref="W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171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L16" s="175"/>
      <c r="M16" s="176"/>
      <c r="N16" s="176"/>
      <c r="O16" s="211"/>
      <c r="P16" s="176"/>
      <c r="Q16" s="176"/>
      <c r="R16" s="176"/>
      <c r="S16" s="211"/>
      <c r="T16" s="176"/>
      <c r="U16" s="176"/>
      <c r="V16" s="176"/>
      <c r="W16" s="211"/>
      <c r="X16" s="177"/>
      <c r="Y16" s="176"/>
      <c r="Z16" s="176"/>
      <c r="AA16" s="211"/>
    </row>
    <row r="17" spans="1:27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L17" s="178"/>
      <c r="M17" s="179"/>
      <c r="N17" s="179"/>
      <c r="O17" s="212"/>
      <c r="P17" s="179"/>
      <c r="Q17" s="179"/>
      <c r="R17" s="179"/>
      <c r="S17" s="212"/>
      <c r="T17" s="179"/>
      <c r="U17" s="179"/>
      <c r="V17" s="179"/>
      <c r="W17" s="212"/>
      <c r="X17" s="180"/>
      <c r="Y17" s="179"/>
      <c r="Z17" s="179"/>
      <c r="AA17" s="212"/>
    </row>
    <row r="18" spans="1:27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L18" s="178" t="s">
        <v>181</v>
      </c>
      <c r="M18" s="179"/>
      <c r="N18" s="179"/>
      <c r="O18" s="212"/>
      <c r="P18" s="179"/>
      <c r="Q18" s="179"/>
      <c r="R18" s="179"/>
      <c r="S18" s="212"/>
      <c r="T18" s="179"/>
      <c r="U18" s="179"/>
      <c r="V18" s="179"/>
      <c r="W18" s="212"/>
      <c r="X18" s="180"/>
      <c r="Y18" s="179"/>
      <c r="Z18" s="179"/>
      <c r="AA18" s="212"/>
    </row>
    <row r="19" spans="1:27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L19" s="178"/>
      <c r="M19" s="179"/>
      <c r="N19" s="179"/>
      <c r="O19" s="212"/>
      <c r="P19" s="179"/>
      <c r="Q19" s="179"/>
      <c r="R19" s="179"/>
      <c r="S19" s="212"/>
      <c r="T19" s="179"/>
      <c r="U19" s="179"/>
      <c r="V19" s="179"/>
      <c r="W19" s="212"/>
      <c r="X19" s="180"/>
      <c r="Y19" s="179"/>
      <c r="Z19" s="179"/>
      <c r="AA19" s="212"/>
    </row>
    <row r="20" spans="1:27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L20" s="181"/>
      <c r="M20" s="182"/>
      <c r="N20" s="182"/>
      <c r="O20" s="213"/>
      <c r="P20" s="182"/>
      <c r="Q20" s="182"/>
      <c r="R20" s="182"/>
      <c r="S20" s="213"/>
      <c r="T20" s="182"/>
      <c r="U20" s="182"/>
      <c r="V20" s="182"/>
      <c r="W20" s="213"/>
      <c r="X20" s="183"/>
      <c r="Y20" s="182"/>
      <c r="Z20" s="182"/>
      <c r="AA20" s="213"/>
    </row>
    <row r="21" spans="1:27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L21" s="184">
        <v>5</v>
      </c>
      <c r="M21" s="184"/>
      <c r="N21" s="184"/>
      <c r="O21" s="214"/>
      <c r="P21" s="184"/>
      <c r="Q21" s="184"/>
      <c r="R21" s="184"/>
      <c r="S21" s="214"/>
      <c r="T21" s="184">
        <v>7</v>
      </c>
      <c r="U21" s="184"/>
      <c r="V21" s="184"/>
      <c r="W21" s="214"/>
      <c r="X21" s="184">
        <v>8</v>
      </c>
      <c r="Y21" s="184"/>
      <c r="Z21" s="184"/>
      <c r="AA21" s="21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88">
        <f>Олонецкое!K23+Туксинское!K23+'Ильинское '!K23+Видлицкое!K23+Мегрегское!K23+Куйтежское!K23+Михайловское!K23+Коверское!K23+Коткозерское!K23</f>
        <v>16839.4</v>
      </c>
      <c r="L23" s="188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M23" s="188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N23" s="188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O23" s="300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P23" s="188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Q23" s="188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R23" s="188">
        <f>Олонецкое!Q23+Туксинское!R23+'Ильинское '!R23+Видлицкое!R23+Мегрегское!R23+Куйтежское!R23+Михайловское!R23+Коверское!R23+Коткозерское!R23</f>
        <v>606</v>
      </c>
      <c r="S23" s="300">
        <f>Олонецкое!R23+Туксинское!S23+'Ильинское '!S23+Видлицкое!S23+Мегрегское!S23+Куйтежское!S23+Михайловское!S23+Коверское!S23+Коткозерское!S23</f>
        <v>1576</v>
      </c>
      <c r="T23" s="188">
        <f>Олонецкое!S23+Туксинское!T23+'Ильинское '!T23+Видлицкое!T23+Мегрегское!T23+Куйтежское!T23+Михайловское!T23+Коверское!T23+Коткозерское!T23</f>
        <v>520</v>
      </c>
      <c r="U23" s="188">
        <f>Олонецкое!T23+Туксинское!U23+'Ильинское '!U23+Видлицкое!U23+Мегрегское!U23+Куйтежское!U23+Михайловское!U23+Коверское!U23+Коткозерское!U23</f>
        <v>519</v>
      </c>
      <c r="V23" s="188">
        <f>Олонецкое!U23+Туксинское!V23+'Ильинское '!V23+Видлицкое!V23+Мегрегское!V23+Куйтежское!V23+Михайловское!V23+Коверское!V23+Коткозерское!V23</f>
        <v>537</v>
      </c>
      <c r="W23" s="300">
        <f>Олонецкое!V23+Туксинское!W23+'Ильинское '!W23+Видлицкое!W23+Мегрегское!W23+Куйтежское!W23+Михайловское!W23+Коверское!W23+Коткозерское!W23</f>
        <v>1625</v>
      </c>
      <c r="X23" s="188">
        <f>Олонецкое!W23+Туксинское!X23+'Ильинское '!X23+Видлицкое!X23+Мегрегское!X23+Куйтежское!X23+Михайловское!X23+Коверское!X23+Коткозерское!X23</f>
        <v>488.5</v>
      </c>
      <c r="Y23" s="188">
        <f>Олонецкое!X23+Туксинское!Y23+'Ильинское '!Y23+Видлицкое!Y23+Мегрегское!Y23+Куйтежское!Y23+Михайловское!Y23+Коверское!Y23+Коткозерское!Y23</f>
        <v>526</v>
      </c>
      <c r="Z23" s="188">
        <f>Олонецкое!Y23+Туксинское!Z23+'Ильинское '!Z23+Видлицкое!Z23+Мегрегское!Z23+Куйтежское!Z23+Михайловское!Z23+Коверское!Z23+Коткозерское!Z23</f>
        <v>610.5</v>
      </c>
      <c r="AA23" s="300">
        <f>Олонецкое!Z23+Туксинское!AA23+'Ильинское '!AA23+Видлицкое!AA23+Мегрегское!AA23+Куйтежское!AA23+Михайловское!AA23+Коверское!AA23+Коткозерское!AA23</f>
        <v>1654</v>
      </c>
      <c r="AB23" s="188">
        <f>Олонецкое!AA23+Туксинское!AB23+'Ильинское '!AB23+Видлицкое!AB23+Мегрегское!AB23+Куйтежское!AB23+Михайловское!AB23+Коверское!AB23+Коткозерское!AB23</f>
        <v>504</v>
      </c>
      <c r="AC23" s="188">
        <f>Олонецкое!AB23+Туксинское!AC23+'Ильинское '!AC23+Видлицкое!AC23+Мегрегское!AC23+Куйтежское!AC23+Михайловское!AC23+Коверское!AC23+Коткозерское!AC23</f>
        <v>588.5</v>
      </c>
      <c r="AD23" s="188">
        <f>Олонецкое!AC23+Туксинское!AD23+'Ильинское '!AD23+Видлицкое!AD23+Мегрегское!AD23+Куйтежское!AD23+Михайловское!AD23+Коверское!AD23+Коткозерское!AD23</f>
        <v>611.5</v>
      </c>
    </row>
    <row r="24" spans="1:30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189">
        <f>Олонецкое!K24+Туксинское!K24+'Ильинское '!K24+Видлицкое!K24+Мегрегское!K24+Куйтежское!K24+Михайловское!K24+Коверское!K24+Коткозерское!K24</f>
        <v>13869.2</v>
      </c>
      <c r="L24" s="188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M24" s="188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N24" s="188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O24" s="300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P24" s="188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Q24" s="188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R24" s="188">
        <f>Олонецкое!Q24+Туксинское!R24+'Ильинское '!R24+Видлицкое!R24+Мегрегское!R24+Куйтежское!R24+Михайловское!R24+Коверское!R24+Коткозерское!R24</f>
        <v>504</v>
      </c>
      <c r="S24" s="300">
        <f>Олонецкое!R24+Туксинское!S24+'Ильинское '!S24+Видлицкое!S24+Мегрегское!S24+Куйтежское!S24+Михайловское!S24+Коверское!S24+Коткозерское!S24</f>
        <v>1257</v>
      </c>
      <c r="T24" s="188">
        <f>Олонецкое!S24+Туксинское!T24+'Ильинское '!T24+Видлицкое!T24+Мегрегское!T24+Куйтежское!T24+Михайловское!T24+Коверское!T24+Коткозерское!T24</f>
        <v>397</v>
      </c>
      <c r="U24" s="188">
        <f>Олонецкое!T24+Туксинское!U24+'Ильинское '!U24+Видлицкое!U24+Мегрегское!U24+Куйтежское!U24+Михайловское!U24+Коверское!U24+Коткозерское!U24</f>
        <v>426</v>
      </c>
      <c r="V24" s="188">
        <f>Олонецкое!U24+Туксинское!V24+'Ильинское '!V24+Видлицкое!V24+Мегрегское!V24+Куйтежское!V24+Михайловское!V24+Коверское!V24+Коткозерское!V24</f>
        <v>434</v>
      </c>
      <c r="W24" s="300">
        <f>Олонецкое!V24+Туксинское!W24+'Ильинское '!W24+Видлицкое!W24+Мегрегское!W24+Куйтежское!W24+Михайловское!W24+Коверское!W24+Коткозерское!W24</f>
        <v>1253</v>
      </c>
      <c r="X24" s="188">
        <f>Олонецкое!W24+Туксинское!X24+'Ильинское '!X24+Видлицкое!X24+Мегрегское!X24+Куйтежское!X24+Михайловское!X24+Коверское!X24+Коткозерское!X24</f>
        <v>397</v>
      </c>
      <c r="Y24" s="188">
        <f>Олонецкое!X24+Туксинское!Y24+'Ильинское '!Y24+Видлицкое!Y24+Мегрегское!Y24+Куйтежское!Y24+Михайловское!Y24+Коверское!Y24+Коткозерское!Y24</f>
        <v>426</v>
      </c>
      <c r="Z24" s="188">
        <f>Олонецкое!Y24+Туксинское!Z24+'Ильинское '!Z24+Видлицкое!Z24+Мегрегское!Z24+Куйтежское!Z24+Михайловское!Z24+Коверское!Z24+Коткозерское!Z24</f>
        <v>430</v>
      </c>
      <c r="AA24" s="300">
        <f>Олонецкое!Z24+Туксинское!AA24+'Ильинское '!AA24+Видлицкое!AA24+Мегрегское!AA24+Куйтежское!AA24+Михайловское!AA24+Коверское!AA24+Коткозерское!AA24</f>
        <v>1254</v>
      </c>
      <c r="AB24" s="188">
        <f>Олонецкое!AA24+Туксинское!AB24+'Ильинское '!AB24+Видлицкое!AB24+Мегрегское!AB24+Куйтежское!AB24+Михайловское!AB24+Коверское!AB24+Коткозерское!AB24</f>
        <v>397</v>
      </c>
      <c r="AC24" s="188">
        <f>Олонецкое!AB24+Туксинское!AC24+'Ильинское '!AC24+Видлицкое!AC24+Мегрегское!AC24+Куйтежское!AC24+Михайловское!AC24+Коверское!AC24+Коткозерское!AC24</f>
        <v>426</v>
      </c>
      <c r="AD24" s="188">
        <f>Олонецкое!AC24+Туксинское!AD24+'Ильинское '!AD24+Видлицкое!AD24+Мегрегское!AD24+Куйтежское!AD24+Михайловское!AD24+Коверское!AD24+Коткозерское!AD24</f>
        <v>481</v>
      </c>
    </row>
    <row r="25" spans="1:30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189">
        <f>Олонецкое!K25+Туксинское!K25+'Ильинское '!K25+Видлицкое!K25+Мегрегское!K25+Куйтежское!K25+Михайловское!K25+Коверское!K25+Коткозерское!K25</f>
        <v>13869.2</v>
      </c>
      <c r="L25" s="188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M25" s="188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N25" s="188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O25" s="300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P25" s="188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Q25" s="188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R25" s="188">
        <f>Олонецкое!Q25+Туксинское!R25+'Ильинское '!R25+Видлицкое!R25+Мегрегское!R25+Куйтежское!R25+Михайловское!R25+Коверское!R25+Коткозерское!R25</f>
        <v>504</v>
      </c>
      <c r="S25" s="300">
        <f>Олонецкое!R25+Туксинское!S25+'Ильинское '!S25+Видлицкое!S25+Мегрегское!S25+Куйтежское!S25+Михайловское!S25+Коверское!S25+Коткозерское!S25</f>
        <v>1257</v>
      </c>
      <c r="T25" s="188">
        <f>Олонецкое!S25+Туксинское!T25+'Ильинское '!T25+Видлицкое!T25+Мегрегское!T25+Куйтежское!T25+Михайловское!T25+Коверское!T25+Коткозерское!T25</f>
        <v>397</v>
      </c>
      <c r="U25" s="188">
        <f>Олонецкое!T25+Туксинское!U25+'Ильинское '!U25+Видлицкое!U25+Мегрегское!U25+Куйтежское!U25+Михайловское!U25+Коверское!U25+Коткозерское!U25</f>
        <v>426</v>
      </c>
      <c r="V25" s="188">
        <f>Олонецкое!U25+Туксинское!V25+'Ильинское '!V25+Видлицкое!V25+Мегрегское!V25+Куйтежское!V25+Михайловское!V25+Коверское!V25+Коткозерское!V25</f>
        <v>434</v>
      </c>
      <c r="W25" s="300">
        <f>Олонецкое!V25+Туксинское!W25+'Ильинское '!W25+Видлицкое!W25+Мегрегское!W25+Куйтежское!W25+Михайловское!W25+Коверское!W25+Коткозерское!W25</f>
        <v>1253</v>
      </c>
      <c r="X25" s="188">
        <f>Олонецкое!W25+Туксинское!X25+'Ильинское '!X25+Видлицкое!X25+Мегрегское!X25+Куйтежское!X25+Михайловское!X25+Коверское!X25+Коткозерское!X25</f>
        <v>397</v>
      </c>
      <c r="Y25" s="188">
        <f>Олонецкое!X25+Туксинское!Y25+'Ильинское '!Y25+Видлицкое!Y25+Мегрегское!Y25+Куйтежское!Y25+Михайловское!Y25+Коверское!Y25+Коткозерское!Y25</f>
        <v>426</v>
      </c>
      <c r="Z25" s="188">
        <f>Олонецкое!Y25+Туксинское!Z25+'Ильинское '!Z25+Видлицкое!Z25+Мегрегское!Z25+Куйтежское!Z25+Михайловское!Z25+Коверское!Z25+Коткозерское!Z25</f>
        <v>430</v>
      </c>
      <c r="AA25" s="300">
        <f>Олонецкое!Z25+Туксинское!AA25+'Ильинское '!AA25+Видлицкое!AA25+Мегрегское!AA25+Куйтежское!AA25+Михайловское!AA25+Коверское!AA25+Коткозерское!AA25</f>
        <v>1254</v>
      </c>
      <c r="AB25" s="188">
        <f>Олонецкое!AA25+Туксинское!AB25+'Ильинское '!AB25+Видлицкое!AB25+Мегрегское!AB25+Куйтежское!AB25+Михайловское!AB25+Коверское!AB25+Коткозерское!AB25</f>
        <v>397</v>
      </c>
      <c r="AC25" s="188">
        <f>Олонецкое!AB25+Туксинское!AC25+'Ильинское '!AC25+Видлицкое!AC25+Мегрегское!AC25+Куйтежское!AC25+Михайловское!AC25+Коверское!AC25+Коткозерское!AC25</f>
        <v>426</v>
      </c>
      <c r="AD25" s="188">
        <f>Олонецкое!AC25+Туксинское!AD25+'Ильинское '!AD25+Видлицкое!AD25+Мегрегское!AD25+Куйтежское!AD25+Михайловское!AD25+Коверское!AD25+Коткозерское!AD25</f>
        <v>481</v>
      </c>
    </row>
    <row r="26" spans="1:30" ht="24.75" customHeight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190">
        <f>Олонецкое!K26+Туксинское!K26+'Ильинское '!K26+Видлицкое!K26+Мегрегское!K26+Куйтежское!K26+Михайловское!K26+Коверское!K26+Коткозерское!K26</f>
        <v>0</v>
      </c>
      <c r="L26" s="188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M26" s="188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N26" s="188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O26" s="300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P26" s="188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Q26" s="188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R26" s="188">
        <f>Олонецкое!Q26+Туксинское!R26+'Ильинское '!R26+Видлицкое!R26+Мегрегское!R26+Куйтежское!R26+Михайловское!R26+Коверское!R26+Коткозерское!R26</f>
        <v>0</v>
      </c>
      <c r="S26" s="300">
        <f>Олонецкое!R26+Туксинское!S26+'Ильинское '!S26+Видлицкое!S26+Мегрегское!S26+Куйтежское!S26+Михайловское!S26+Коверское!S26+Коткозерское!S26</f>
        <v>0</v>
      </c>
      <c r="T26" s="188">
        <f>Олонецкое!S26+Туксинское!T26+'Ильинское '!T26+Видлицкое!T26+Мегрегское!T26+Куйтежское!T26+Михайловское!T26+Коверское!T26+Коткозерское!T26</f>
        <v>0</v>
      </c>
      <c r="U26" s="188">
        <f>Олонецкое!T26+Туксинское!U26+'Ильинское '!U26+Видлицкое!U26+Мегрегское!U26+Куйтежское!U26+Михайловское!U26+Коверское!U26+Коткозерское!U26</f>
        <v>0</v>
      </c>
      <c r="V26" s="188">
        <f>Олонецкое!U26+Туксинское!V26+'Ильинское '!V26+Видлицкое!V26+Мегрегское!V26+Куйтежское!V26+Михайловское!V26+Коверское!V26+Коткозерское!V26</f>
        <v>0</v>
      </c>
      <c r="W26" s="300">
        <f>Олонецкое!V26+Туксинское!W26+'Ильинское '!W26+Видлицкое!W26+Мегрегское!W26+Куйтежское!W26+Михайловское!W26+Коверское!W26+Коткозерское!W26</f>
        <v>0</v>
      </c>
      <c r="X26" s="188">
        <f>Олонецкое!W26+Туксинское!X26+'Ильинское '!X26+Видлицкое!X26+Мегрегское!X26+Куйтежское!X26+Михайловское!X26+Коверское!X26+Коткозерское!X26</f>
        <v>0</v>
      </c>
      <c r="Y26" s="188">
        <f>Олонецкое!X26+Туксинское!Y26+'Ильинское '!Y26+Видлицкое!Y26+Мегрегское!Y26+Куйтежское!Y26+Михайловское!Y26+Коверское!Y26+Коткозерское!Y26</f>
        <v>0</v>
      </c>
      <c r="Z26" s="188">
        <f>Олонецкое!Y26+Туксинское!Z26+'Ильинское '!Z26+Видлицкое!Z26+Мегрегское!Z26+Куйтежское!Z26+Михайловское!Z26+Коверское!Z26+Коткозерское!Z26</f>
        <v>0</v>
      </c>
      <c r="AA26" s="300">
        <f>Олонецкое!Z26+Туксинское!AA26+'Ильинское '!AA26+Видлицкое!AA26+Мегрегское!AA26+Куйтежское!AA26+Михайловское!AA26+Коверское!AA26+Коткозерское!AA26</f>
        <v>0</v>
      </c>
      <c r="AB26" s="188">
        <f>Олонецкое!AA26+Туксинское!AB26+'Ильинское '!AB26+Видлицкое!AB26+Мегрегское!AB26+Куйтежское!AB26+Михайловское!AB26+Коверское!AB26+Коткозерское!AB26</f>
        <v>0</v>
      </c>
      <c r="AC26" s="188">
        <f>Олонецкое!AB26+Туксинское!AC26+'Ильинское '!AC26+Видлицкое!AC26+Мегрегское!AC26+Куйтежское!AC26+Михайловское!AC26+Коверское!AC26+Коткозерское!AC26</f>
        <v>0</v>
      </c>
      <c r="AD26" s="188">
        <f>Олонецкое!AC26+Туксинское!AD26+'Ильинское '!AD26+Видлицкое!AD26+Мегрегское!AD26+Куйтежское!AD26+Михайловское!AD26+Коверское!AD26+Коткозерское!AD26</f>
        <v>0</v>
      </c>
    </row>
    <row r="27" spans="1:30" ht="24.75" customHeight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190">
        <f>Олонецкое!K27+Туксинское!K27+'Ильинское '!K27+Видлицкое!K27+Мегрегское!K27+Куйтежское!K27+Михайловское!K27+Коверское!K27+Коткозерское!K27</f>
        <v>13799.2</v>
      </c>
      <c r="L27" s="188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M27" s="188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N27" s="188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O27" s="300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P27" s="188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Q27" s="188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R27" s="188">
        <f>Олонецкое!Q27+Туксинское!R27+'Ильинское '!R27+Видлицкое!R27+Мегрегское!R27+Куйтежское!R27+Михайловское!R27+Коверское!R27+Коткозерское!R27</f>
        <v>504</v>
      </c>
      <c r="S27" s="300">
        <f>Олонецкое!R27+Туксинское!S27+'Ильинское '!S27+Видлицкое!S27+Мегрегское!S27+Куйтежское!S27+Михайловское!S27+Коверское!S27+Коткозерское!S27</f>
        <v>1257</v>
      </c>
      <c r="T27" s="188">
        <f>Олонецкое!S27+Туксинское!T27+'Ильинское '!T27+Видлицкое!T27+Мегрегское!T27+Куйтежское!T27+Михайловское!T27+Коверское!T27+Коткозерское!T27</f>
        <v>397</v>
      </c>
      <c r="U27" s="188">
        <f>Олонецкое!T27+Туксинское!U27+'Ильинское '!U27+Видлицкое!U27+Мегрегское!U27+Куйтежское!U27+Михайловское!U27+Коверское!U27+Коткозерское!U27</f>
        <v>426</v>
      </c>
      <c r="V27" s="188">
        <f>Олонецкое!U27+Туксинское!V27+'Ильинское '!V27+Видлицкое!V27+Мегрегское!V27+Куйтежское!V27+Михайловское!V27+Коверское!V27+Коткозерское!V27</f>
        <v>434</v>
      </c>
      <c r="W27" s="300">
        <f>Олонецкое!V27+Туксинское!W27+'Ильинское '!W27+Видлицкое!W27+Мегрегское!W27+Куйтежское!W27+Михайловское!W27+Коверское!W27+Коткозерское!W27</f>
        <v>1253</v>
      </c>
      <c r="X27" s="188">
        <f>Олонецкое!W27+Туксинское!X27+'Ильинское '!X27+Видлицкое!X27+Мегрегское!X27+Куйтежское!X27+Михайловское!X27+Коверское!X27+Коткозерское!X27</f>
        <v>397</v>
      </c>
      <c r="Y27" s="188">
        <f>Олонецкое!X27+Туксинское!Y27+'Ильинское '!Y27+Видлицкое!Y27+Мегрегское!Y27+Куйтежское!Y27+Михайловское!Y27+Коверское!Y27+Коткозерское!Y27</f>
        <v>426</v>
      </c>
      <c r="Z27" s="188">
        <f>Олонецкое!Y27+Туксинское!Z27+'Ильинское '!Z27+Видлицкое!Z27+Мегрегское!Z27+Куйтежское!Z27+Михайловское!Z27+Коверское!Z27+Коткозерское!Z27</f>
        <v>430</v>
      </c>
      <c r="AA27" s="300">
        <f>Олонецкое!Z27+Туксинское!AA27+'Ильинское '!AA27+Видлицкое!AA27+Мегрегское!AA27+Куйтежское!AA27+Михайловское!AA27+Коверское!AA27+Коткозерское!AA27</f>
        <v>1254</v>
      </c>
      <c r="AB27" s="188">
        <f>Олонецкое!AA27+Туксинское!AB27+'Ильинское '!AB27+Видлицкое!AB27+Мегрегское!AB27+Куйтежское!AB27+Михайловское!AB27+Коверское!AB27+Коткозерское!AB27</f>
        <v>397</v>
      </c>
      <c r="AC27" s="188">
        <f>Олонецкое!AB27+Туксинское!AC27+'Ильинское '!AC27+Видлицкое!AC27+Мегрегское!AC27+Куйтежское!AC27+Михайловское!AC27+Коверское!AC27+Коткозерское!AC27</f>
        <v>426</v>
      </c>
      <c r="AD27" s="188">
        <f>Олонецкое!AC27+Туксинское!AD27+'Ильинское '!AD27+Видлицкое!AD27+Мегрегское!AD27+Куйтежское!AD27+Михайловское!AD27+Коверское!AD27+Коткозерское!AD27</f>
        <v>481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190">
        <f>Олонецкое!K28+Туксинское!K28+'Ильинское '!K28+Видлицкое!K28+Мегрегское!K28+Куйтежское!K28+Михайловское!K28+Коверское!K28+Коткозерское!K28</f>
        <v>13799.2</v>
      </c>
      <c r="L28" s="188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M28" s="188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N28" s="188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O28" s="300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P28" s="188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Q28" s="188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R28" s="188">
        <f>Олонецкое!Q28+Туксинское!R28+'Ильинское '!R28+Видлицкое!R28+Мегрегское!R28+Куйтежское!R28+Михайловское!R28+Коверское!R28+Коткозерское!R28</f>
        <v>504</v>
      </c>
      <c r="S28" s="300">
        <f>Олонецкое!R28+Туксинское!S28+'Ильинское '!S28+Видлицкое!S28+Мегрегское!S28+Куйтежское!S28+Михайловское!S28+Коверское!S28+Коткозерское!S28</f>
        <v>1257</v>
      </c>
      <c r="T28" s="188">
        <f>Олонецкое!S28+Туксинское!T28+'Ильинское '!T28+Видлицкое!T28+Мегрегское!T28+Куйтежское!T28+Михайловское!T28+Коверское!T28+Коткозерское!T28</f>
        <v>397</v>
      </c>
      <c r="U28" s="188">
        <f>Олонецкое!T28+Туксинское!U28+'Ильинское '!U28+Видлицкое!U28+Мегрегское!U28+Куйтежское!U28+Михайловское!U28+Коверское!U28+Коткозерское!U28</f>
        <v>426</v>
      </c>
      <c r="V28" s="188">
        <f>Олонецкое!U28+Туксинское!V28+'Ильинское '!V28+Видлицкое!V28+Мегрегское!V28+Куйтежское!V28+Михайловское!V28+Коверское!V28+Коткозерское!V28</f>
        <v>434</v>
      </c>
      <c r="W28" s="300">
        <f>Олонецкое!V28+Туксинское!W28+'Ильинское '!W28+Видлицкое!W28+Мегрегское!W28+Куйтежское!W28+Михайловское!W28+Коверское!W28+Коткозерское!W28</f>
        <v>1253</v>
      </c>
      <c r="X28" s="188">
        <f>Олонецкое!W28+Туксинское!X28+'Ильинское '!X28+Видлицкое!X28+Мегрегское!X28+Куйтежское!X28+Михайловское!X28+Коверское!X28+Коткозерское!X28</f>
        <v>397</v>
      </c>
      <c r="Y28" s="188">
        <f>Олонецкое!X28+Туксинское!Y28+'Ильинское '!Y28+Видлицкое!Y28+Мегрегское!Y28+Куйтежское!Y28+Михайловское!Y28+Коверское!Y28+Коткозерское!Y28</f>
        <v>426</v>
      </c>
      <c r="Z28" s="188">
        <f>Олонецкое!Y28+Туксинское!Z28+'Ильинское '!Z28+Видлицкое!Z28+Мегрегское!Z28+Куйтежское!Z28+Михайловское!Z28+Коверское!Z28+Коткозерское!Z28</f>
        <v>430</v>
      </c>
      <c r="AA28" s="300">
        <f>Олонецкое!Z28+Туксинское!AA28+'Ильинское '!AA28+Видлицкое!AA28+Мегрегское!AA28+Куйтежское!AA28+Михайловское!AA28+Коверское!AA28+Коткозерское!AA28</f>
        <v>1254</v>
      </c>
      <c r="AB28" s="188">
        <f>Олонецкое!AA28+Туксинское!AB28+'Ильинское '!AB28+Видлицкое!AB28+Мегрегское!AB28+Куйтежское!AB28+Михайловское!AB28+Коверское!AB28+Коткозерское!AB28</f>
        <v>397</v>
      </c>
      <c r="AC28" s="188">
        <f>Олонецкое!AB28+Туксинское!AC28+'Ильинское '!AC28+Видлицкое!AC28+Мегрегское!AC28+Куйтежское!AC28+Михайловское!AC28+Коверское!AC28+Коткозерское!AC28</f>
        <v>426</v>
      </c>
      <c r="AD28" s="188">
        <f>Олонецкое!AC28+Туксинское!AD28+'Ильинское '!AD28+Видлицкое!AD28+Мегрегское!AD28+Куйтежское!AD28+Михайловское!AD28+Коверское!AD28+Коткозерское!AD28</f>
        <v>481</v>
      </c>
    </row>
    <row r="29" spans="1:30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190">
        <f>Олонецкое!K29+Туксинское!K29+'Ильинское '!K29+Видлицкое!K29+Мегрегское!K29+Куйтежское!K29+Михайловское!K29+Коверское!K29+Коткозерское!K29</f>
        <v>70</v>
      </c>
      <c r="L29" s="188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M29" s="188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N29" s="188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O29" s="300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P29" s="188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Q29" s="188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R29" s="188">
        <f>Олонецкое!Q29+Туксинское!R29+'Ильинское '!R29+Видлицкое!R29+Мегрегское!R29+Куйтежское!R29+Михайловское!R29+Коверское!R29+Коткозерское!R29</f>
        <v>0</v>
      </c>
      <c r="S29" s="300">
        <f>Олонецкое!R29+Туксинское!S29+'Ильинское '!S29+Видлицкое!S29+Мегрегское!S29+Куйтежское!S29+Михайловское!S29+Коверское!S29+Коткозерское!S29</f>
        <v>0</v>
      </c>
      <c r="T29" s="188">
        <f>Олонецкое!S29+Туксинское!T29+'Ильинское '!T29+Видлицкое!T29+Мегрегское!T29+Куйтежское!T29+Михайловское!T29+Коверское!T29+Коткозерское!T29</f>
        <v>0</v>
      </c>
      <c r="U29" s="188">
        <f>Олонецкое!T29+Туксинское!U29+'Ильинское '!U29+Видлицкое!U29+Мегрегское!U29+Куйтежское!U29+Михайловское!U29+Коверское!U29+Коткозерское!U29</f>
        <v>0</v>
      </c>
      <c r="V29" s="188">
        <f>Олонецкое!U29+Туксинское!V29+'Ильинское '!V29+Видлицкое!V29+Мегрегское!V29+Куйтежское!V29+Михайловское!V29+Коверское!V29+Коткозерское!V29</f>
        <v>0</v>
      </c>
      <c r="W29" s="300">
        <f>Олонецкое!V29+Туксинское!W29+'Ильинское '!W29+Видлицкое!W29+Мегрегское!W29+Куйтежское!W29+Михайловское!W29+Коверское!W29+Коткозерское!W29</f>
        <v>0</v>
      </c>
      <c r="X29" s="188">
        <f>Олонецкое!W29+Туксинское!X29+'Ильинское '!X29+Видлицкое!X29+Мегрегское!X29+Куйтежское!X29+Михайловское!X29+Коверское!X29+Коткозерское!X29</f>
        <v>0</v>
      </c>
      <c r="Y29" s="188">
        <f>Олонецкое!X29+Туксинское!Y29+'Ильинское '!Y29+Видлицкое!Y29+Мегрегское!Y29+Куйтежское!Y29+Михайловское!Y29+Коверское!Y29+Коткозерское!Y29</f>
        <v>0</v>
      </c>
      <c r="Z29" s="188">
        <f>Олонецкое!Y29+Туксинское!Z29+'Ильинское '!Z29+Видлицкое!Z29+Мегрегское!Z29+Куйтежское!Z29+Михайловское!Z29+Коверское!Z29+Коткозерское!Z29</f>
        <v>0</v>
      </c>
      <c r="AA29" s="300">
        <f>Олонецкое!Z29+Туксинское!AA29+'Ильинское '!AA29+Видлицкое!AA29+Мегрегское!AA29+Куйтежское!AA29+Михайловское!AA29+Коверское!AA29+Коткозерское!AA29</f>
        <v>0</v>
      </c>
      <c r="AB29" s="188">
        <f>Олонецкое!AA29+Туксинское!AB29+'Ильинское '!AB29+Видлицкое!AB29+Мегрегское!AB29+Куйтежское!AB29+Михайловское!AB29+Коверское!AB29+Коткозерское!AB29</f>
        <v>0</v>
      </c>
      <c r="AC29" s="188">
        <f>Олонецкое!AB29+Туксинское!AC29+'Ильинское '!AC29+Видлицкое!AC29+Мегрегское!AC29+Куйтежское!AC29+Михайловское!AC29+Коверское!AC29+Коткозерское!AC29</f>
        <v>0</v>
      </c>
      <c r="AD29" s="188">
        <f>Олонецкое!AC29+Туксинское!AD29+'Ильинское '!AD29+Видлицкое!AD29+Мегрегское!AD29+Куйтежское!AD29+Михайловское!AD29+Коверское!AD29+Коткозерское!AD29</f>
        <v>0</v>
      </c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190">
        <f>Олонецкое!K30+Туксинское!K30+'Ильинское '!K30+Видлицкое!K30+Мегрегское!K30+Куйтежское!K30+Михайловское!K30+Коверское!K30+Коткозерское!K30</f>
        <v>0</v>
      </c>
      <c r="L30" s="188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M30" s="188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N30" s="188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O30" s="300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P30" s="188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Q30" s="188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R30" s="188">
        <f>Олонецкое!Q30+Туксинское!R30+'Ильинское '!R30+Видлицкое!R30+Мегрегское!R30+Куйтежское!R30+Михайловское!R30+Коверское!R30+Коткозерское!R30</f>
        <v>0</v>
      </c>
      <c r="S30" s="300">
        <f>Олонецкое!R30+Туксинское!S30+'Ильинское '!S30+Видлицкое!S30+Мегрегское!S30+Куйтежское!S30+Михайловское!S30+Коверское!S30+Коткозерское!S30</f>
        <v>0</v>
      </c>
      <c r="T30" s="188">
        <f>Олонецкое!S30+Туксинское!T30+'Ильинское '!T30+Видлицкое!T30+Мегрегское!T30+Куйтежское!T30+Михайловское!T30+Коверское!T30+Коткозерское!T30</f>
        <v>0</v>
      </c>
      <c r="U30" s="188">
        <f>Олонецкое!T30+Туксинское!U30+'Ильинское '!U30+Видлицкое!U30+Мегрегское!U30+Куйтежское!U30+Михайловское!U30+Коверское!U30+Коткозерское!U30</f>
        <v>0</v>
      </c>
      <c r="V30" s="188">
        <f>Олонецкое!U30+Туксинское!V30+'Ильинское '!V30+Видлицкое!V30+Мегрегское!V30+Куйтежское!V30+Михайловское!V30+Коверское!V30+Коткозерское!V30</f>
        <v>0</v>
      </c>
      <c r="W30" s="300">
        <f>Олонецкое!V30+Туксинское!W30+'Ильинское '!W30+Видлицкое!W30+Мегрегское!W30+Куйтежское!W30+Михайловское!W30+Коверское!W30+Коткозерское!W30</f>
        <v>0</v>
      </c>
      <c r="X30" s="188">
        <f>Олонецкое!W30+Туксинское!X30+'Ильинское '!X30+Видлицкое!X30+Мегрегское!X30+Куйтежское!X30+Михайловское!X30+Коверское!X30+Коткозерское!X30</f>
        <v>0</v>
      </c>
      <c r="Y30" s="188">
        <f>Олонецкое!X30+Туксинское!Y30+'Ильинское '!Y30+Видлицкое!Y30+Мегрегское!Y30+Куйтежское!Y30+Михайловское!Y30+Коверское!Y30+Коткозерское!Y30</f>
        <v>0</v>
      </c>
      <c r="Z30" s="188">
        <f>Олонецкое!Y30+Туксинское!Z30+'Ильинское '!Z30+Видлицкое!Z30+Мегрегское!Z30+Куйтежское!Z30+Михайловское!Z30+Коверское!Z30+Коткозерское!Z30</f>
        <v>0</v>
      </c>
      <c r="AA30" s="300">
        <f>Олонецкое!Z30+Туксинское!AA30+'Ильинское '!AA30+Видлицкое!AA30+Мегрегское!AA30+Куйтежское!AA30+Михайловское!AA30+Коверское!AA30+Коткозерское!AA30</f>
        <v>0</v>
      </c>
      <c r="AB30" s="188">
        <f>Олонецкое!AA30+Туксинское!AB30+'Ильинское '!AB30+Видлицкое!AB30+Мегрегское!AB30+Куйтежское!AB30+Михайловское!AB30+Коверское!AB30+Коткозерское!AB30</f>
        <v>0</v>
      </c>
      <c r="AC30" s="188">
        <f>Олонецкое!AB30+Туксинское!AC30+'Ильинское '!AC30+Видлицкое!AC30+Мегрегское!AC30+Куйтежское!AC30+Михайловское!AC30+Коверское!AC30+Коткозерское!AC30</f>
        <v>0</v>
      </c>
      <c r="AD30" s="188">
        <f>Олонецкое!AC30+Туксинское!AD30+'Ильинское '!AD30+Видлицкое!AD30+Мегрегское!AD30+Куйтежское!AD30+Михайловское!AD30+Коверское!AD30+Коткозерское!AD30</f>
        <v>0</v>
      </c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191">
        <f>Олонецкое!K31+Туксинское!K31+'Ильинское '!K31+Видлицкое!K31+Мегрегское!K31+Куйтежское!K31+Михайловское!K31+Коверское!K31+Коткозерское!K31</f>
        <v>0.7</v>
      </c>
      <c r="L31" s="188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M31" s="188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N31" s="188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O31" s="300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P31" s="188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Q31" s="188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R31" s="188">
        <f>Олонецкое!Q31+Туксинское!R31+'Ильинское '!R31+Видлицкое!R31+Мегрегское!R31+Куйтежское!R31+Михайловское!R31+Коверское!R31+Коткозерское!R31</f>
        <v>0</v>
      </c>
      <c r="S31" s="300">
        <f>Олонецкое!R31+Туксинское!S31+'Ильинское '!S31+Видлицкое!S31+Мегрегское!S31+Куйтежское!S31+Михайловское!S31+Коверское!S31+Коткозерское!S31</f>
        <v>0</v>
      </c>
      <c r="T31" s="188">
        <f>Олонецкое!S31+Туксинское!T31+'Ильинское '!T31+Видлицкое!T31+Мегрегское!T31+Куйтежское!T31+Михайловское!T31+Коверское!T31+Коткозерское!T31</f>
        <v>0</v>
      </c>
      <c r="U31" s="188">
        <f>Олонецкое!T31+Туксинское!U31+'Ильинское '!U31+Видлицкое!U31+Мегрегское!U31+Куйтежское!U31+Михайловское!U31+Коверское!U31+Коткозерское!U31</f>
        <v>0</v>
      </c>
      <c r="V31" s="188">
        <f>Олонецкое!U31+Туксинское!V31+'Ильинское '!V31+Видлицкое!V31+Мегрегское!V31+Куйтежское!V31+Михайловское!V31+Коверское!V31+Коткозерское!V31</f>
        <v>0</v>
      </c>
      <c r="W31" s="300">
        <f>Олонецкое!V31+Туксинское!W31+'Ильинское '!W31+Видлицкое!W31+Мегрегское!W31+Куйтежское!W31+Михайловское!W31+Коверское!W31+Коткозерское!W31</f>
        <v>0</v>
      </c>
      <c r="X31" s="188">
        <f>Олонецкое!W31+Туксинское!X31+'Ильинское '!X31+Видлицкое!X31+Мегрегское!X31+Куйтежское!X31+Михайловское!X31+Коверское!X31+Коткозерское!X31</f>
        <v>0</v>
      </c>
      <c r="Y31" s="188">
        <f>Олонецкое!X31+Туксинское!Y31+'Ильинское '!Y31+Видлицкое!Y31+Мегрегское!Y31+Куйтежское!Y31+Михайловское!Y31+Коверское!Y31+Коткозерское!Y31</f>
        <v>0</v>
      </c>
      <c r="Z31" s="188">
        <f>Олонецкое!Y31+Туксинское!Z31+'Ильинское '!Z31+Видлицкое!Z31+Мегрегское!Z31+Куйтежское!Z31+Михайловское!Z31+Коверское!Z31+Коткозерское!Z31</f>
        <v>0</v>
      </c>
      <c r="AA31" s="300">
        <f>Олонецкое!Z31+Туксинское!AA31+'Ильинское '!AA31+Видлицкое!AA31+Мегрегское!AA31+Куйтежское!AA31+Михайловское!AA31+Коверское!AA31+Коткозерское!AA31</f>
        <v>0</v>
      </c>
      <c r="AB31" s="188">
        <f>Олонецкое!AA31+Туксинское!AB31+'Ильинское '!AB31+Видлицкое!AB31+Мегрегское!AB31+Куйтежское!AB31+Михайловское!AB31+Коверское!AB31+Коткозерское!AB31</f>
        <v>0</v>
      </c>
      <c r="AC31" s="188">
        <f>Олонецкое!AB31+Туксинское!AC31+'Ильинское '!AC31+Видлицкое!AC31+Мегрегское!AC31+Куйтежское!AC31+Михайловское!AC31+Коверское!AC31+Коткозерское!AC31</f>
        <v>0</v>
      </c>
      <c r="AD31" s="188">
        <f>Олонецкое!AC31+Туксинское!AD31+'Ильинское '!AD31+Видлицкое!AD31+Мегрегское!AD31+Куйтежское!AD31+Михайловское!AD31+Коверское!AD31+Коткозерское!AD31</f>
        <v>0</v>
      </c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190">
        <f>Олонецкое!K32+Туксинское!K32+'Ильинское '!K32+Видлицкое!K32+Мегрегское!K32+Куйтежское!K32+Михайловское!K32+Коверское!K32+Коткозерское!K32</f>
        <v>0</v>
      </c>
      <c r="L32" s="188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M32" s="188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N32" s="188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O32" s="300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P32" s="188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Q32" s="188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R32" s="188">
        <f>Олонецкое!Q32+Туксинское!R32+'Ильинское '!R32+Видлицкое!R32+Мегрегское!R32+Куйтежское!R32+Михайловское!R32+Коверское!R32+Коткозерское!R32</f>
        <v>0</v>
      </c>
      <c r="S32" s="300">
        <f>Олонецкое!R32+Туксинское!S32+'Ильинское '!S32+Видлицкое!S32+Мегрегское!S32+Куйтежское!S32+Михайловское!S32+Коверское!S32+Коткозерское!S32</f>
        <v>0</v>
      </c>
      <c r="T32" s="188">
        <f>Олонецкое!S32+Туксинское!T32+'Ильинское '!T32+Видлицкое!T32+Мегрегское!T32+Куйтежское!T32+Михайловское!T32+Коверское!T32+Коткозерское!T32</f>
        <v>0</v>
      </c>
      <c r="U32" s="188">
        <f>Олонецкое!T32+Туксинское!U32+'Ильинское '!U32+Видлицкое!U32+Мегрегское!U32+Куйтежское!U32+Михайловское!U32+Коверское!U32+Коткозерское!U32</f>
        <v>0</v>
      </c>
      <c r="V32" s="188">
        <f>Олонецкое!U32+Туксинское!V32+'Ильинское '!V32+Видлицкое!V32+Мегрегское!V32+Куйтежское!V32+Михайловское!V32+Коверское!V32+Коткозерское!V32</f>
        <v>0</v>
      </c>
      <c r="W32" s="300">
        <f>Олонецкое!V32+Туксинское!W32+'Ильинское '!W32+Видлицкое!W32+Мегрегское!W32+Куйтежское!W32+Михайловское!W32+Коверское!W32+Коткозерское!W32</f>
        <v>0</v>
      </c>
      <c r="X32" s="188">
        <f>Олонецкое!W32+Туксинское!X32+'Ильинское '!X32+Видлицкое!X32+Мегрегское!X32+Куйтежское!X32+Михайловское!X32+Коверское!X32+Коткозерское!X32</f>
        <v>0</v>
      </c>
      <c r="Y32" s="188">
        <f>Олонецкое!X32+Туксинское!Y32+'Ильинское '!Y32+Видлицкое!Y32+Мегрегское!Y32+Куйтежское!Y32+Михайловское!Y32+Коверское!Y32+Коткозерское!Y32</f>
        <v>0</v>
      </c>
      <c r="Z32" s="188">
        <f>Олонецкое!Y32+Туксинское!Z32+'Ильинское '!Z32+Видлицкое!Z32+Мегрегское!Z32+Куйтежское!Z32+Михайловское!Z32+Коверское!Z32+Коткозерское!Z32</f>
        <v>0</v>
      </c>
      <c r="AA32" s="300">
        <f>Олонецкое!Z32+Туксинское!AA32+'Ильинское '!AA32+Видлицкое!AA32+Мегрегское!AA32+Куйтежское!AA32+Михайловское!AA32+Коверское!AA32+Коткозерское!AA32</f>
        <v>0</v>
      </c>
      <c r="AB32" s="188">
        <f>Олонецкое!AA32+Туксинское!AB32+'Ильинское '!AB32+Видлицкое!AB32+Мегрегское!AB32+Куйтежское!AB32+Михайловское!AB32+Коверское!AB32+Коткозерское!AB32</f>
        <v>0</v>
      </c>
      <c r="AC32" s="188">
        <f>Олонецкое!AB32+Туксинское!AC32+'Ильинское '!AC32+Видлицкое!AC32+Мегрегское!AC32+Куйтежское!AC32+Михайловское!AC32+Коверское!AC32+Коткозерское!AC32</f>
        <v>0</v>
      </c>
      <c r="AD32" s="188">
        <f>Олонецкое!AC32+Туксинское!AD32+'Ильинское '!AD32+Видлицкое!AD32+Мегрегское!AD32+Куйтежское!AD32+Михайловское!AD32+Коверское!AD32+Коткозерское!AD32</f>
        <v>0</v>
      </c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192">
        <f>Олонецкое!K33+Туксинское!K33+'Ильинское '!K33+Видлицкое!K33+Мегрегское!K33+Куйтежское!K33+Михайловское!K33+Коверское!K33+Коткозерское!K33</f>
        <v>0.7</v>
      </c>
      <c r="L33" s="188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M33" s="188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N33" s="188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O33" s="300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P33" s="188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Q33" s="188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R33" s="188">
        <f>Олонецкое!Q33+Туксинское!R33+'Ильинское '!R33+Видлицкое!R33+Мегрегское!R33+Куйтежское!R33+Михайловское!R33+Коверское!R33+Коткозерское!R33</f>
        <v>0</v>
      </c>
      <c r="S33" s="300">
        <f>Олонецкое!R33+Туксинское!S33+'Ильинское '!S33+Видлицкое!S33+Мегрегское!S33+Куйтежское!S33+Михайловское!S33+Коверское!S33+Коткозерское!S33</f>
        <v>0</v>
      </c>
      <c r="T33" s="188">
        <f>Олонецкое!S33+Туксинское!T33+'Ильинское '!T33+Видлицкое!T33+Мегрегское!T33+Куйтежское!T33+Михайловское!T33+Коверское!T33+Коткозерское!T33</f>
        <v>0</v>
      </c>
      <c r="U33" s="188">
        <f>Олонецкое!T33+Туксинское!U33+'Ильинское '!U33+Видлицкое!U33+Мегрегское!U33+Куйтежское!U33+Михайловское!U33+Коверское!U33+Коткозерское!U33</f>
        <v>0</v>
      </c>
      <c r="V33" s="188">
        <f>Олонецкое!U33+Туксинское!V33+'Ильинское '!V33+Видлицкое!V33+Мегрегское!V33+Куйтежское!V33+Михайловское!V33+Коверское!V33+Коткозерское!V33</f>
        <v>0</v>
      </c>
      <c r="W33" s="300">
        <f>Олонецкое!V33+Туксинское!W33+'Ильинское '!W33+Видлицкое!W33+Мегрегское!W33+Куйтежское!W33+Михайловское!W33+Коверское!W33+Коткозерское!W33</f>
        <v>0</v>
      </c>
      <c r="X33" s="188">
        <f>Олонецкое!W33+Туксинское!X33+'Ильинское '!X33+Видлицкое!X33+Мегрегское!X33+Куйтежское!X33+Михайловское!X33+Коверское!X33+Коткозерское!X33</f>
        <v>0</v>
      </c>
      <c r="Y33" s="188">
        <f>Олонецкое!X33+Туксинское!Y33+'Ильинское '!Y33+Видлицкое!Y33+Мегрегское!Y33+Куйтежское!Y33+Михайловское!Y33+Коверское!Y33+Коткозерское!Y33</f>
        <v>0</v>
      </c>
      <c r="Z33" s="188">
        <f>Олонецкое!Y33+Туксинское!Z33+'Ильинское '!Z33+Видлицкое!Z33+Мегрегское!Z33+Куйтежское!Z33+Михайловское!Z33+Коверское!Z33+Коткозерское!Z33</f>
        <v>0</v>
      </c>
      <c r="AA33" s="300">
        <f>Олонецкое!Z33+Туксинское!AA33+'Ильинское '!AA33+Видлицкое!AA33+Мегрегское!AA33+Куйтежское!AA33+Михайловское!AA33+Коверское!AA33+Коткозерское!AA33</f>
        <v>0</v>
      </c>
      <c r="AB33" s="188">
        <f>Олонецкое!AA33+Туксинское!AB33+'Ильинское '!AB33+Видлицкое!AB33+Мегрегское!AB33+Куйтежское!AB33+Михайловское!AB33+Коверское!AB33+Коткозерское!AB33</f>
        <v>0</v>
      </c>
      <c r="AC33" s="188">
        <f>Олонецкое!AB33+Туксинское!AC33+'Ильинское '!AC33+Видлицкое!AC33+Мегрегское!AC33+Куйтежское!AC33+Михайловское!AC33+Коверское!AC33+Коткозерское!AC33</f>
        <v>0</v>
      </c>
      <c r="AD33" s="188">
        <f>Олонецкое!AC33+Туксинское!AD33+'Ильинское '!AD33+Видлицкое!AD33+Мегрегское!AD33+Куйтежское!AD33+Михайловское!AD33+Коверское!AD33+Коткозерское!AD33</f>
        <v>0</v>
      </c>
    </row>
    <row r="34" spans="1:30" ht="13.5" thickBot="1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191">
        <f>Олонецкое!K34+Туксинское!K34+'Ильинское '!K34+Видлицкое!K34+Мегрегское!K34+Куйтежское!K34+Михайловское!K34+Коверское!K34+Коткозерское!K34</f>
        <v>1396.5</v>
      </c>
      <c r="L34" s="188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M34" s="188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N34" s="188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O34" s="300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P34" s="188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Q34" s="188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R34" s="188">
        <f>Олонецкое!Q34+Туксинское!R34+'Ильинское '!R34+Видлицкое!R34+Мегрегское!R34+Куйтежское!R34+Михайловское!R34+Коверское!R34+Коткозерское!R34</f>
        <v>0</v>
      </c>
      <c r="S34" s="300">
        <f>Олонецкое!R34+Туксинское!S34+'Ильинское '!S34+Видлицкое!S34+Мегрегское!S34+Куйтежское!S34+Михайловское!S34+Коверское!S34+Коткозерское!S34</f>
        <v>30</v>
      </c>
      <c r="T34" s="188">
        <f>Олонецкое!S34+Туксинское!T34+'Ильинское '!T34+Видлицкое!T34+Мегрегское!T34+Куйтежское!T34+Михайловское!T34+Коверское!T34+Коткозерское!T34</f>
        <v>30</v>
      </c>
      <c r="U34" s="188">
        <f>Олонецкое!T34+Туксинское!U34+'Ильинское '!U34+Видлицкое!U34+Мегрегское!U34+Куйтежское!U34+Михайловское!U34+Коверское!U34+Коткозерское!U34</f>
        <v>0</v>
      </c>
      <c r="V34" s="188">
        <f>Олонецкое!U34+Туксинское!V34+'Ильинское '!V34+Видлицкое!V34+Мегрегское!V34+Куйтежское!V34+Михайловское!V34+Коверское!V34+Коткозерское!V34</f>
        <v>0</v>
      </c>
      <c r="W34" s="300">
        <f>Олонецкое!V34+Туксинское!W34+'Ильинское '!W34+Видлицкое!W34+Мегрегское!W34+Куйтежское!W34+Михайловское!W34+Коверское!W34+Коткозерское!W34</f>
        <v>88</v>
      </c>
      <c r="X34" s="188">
        <f>Олонецкое!W34+Туксинское!X34+'Ильинское '!X34+Видлицкое!X34+Мегрегское!X34+Куйтежское!X34+Михайловское!X34+Коверское!X34+Коткозерское!X34</f>
        <v>1</v>
      </c>
      <c r="Y34" s="188">
        <f>Олонецкое!X34+Туксинское!Y34+'Ильинское '!Y34+Видлицкое!Y34+Мегрегское!Y34+Куйтежское!Y34+Михайловское!Y34+Коверское!Y34+Коткозерское!Y34</f>
        <v>8</v>
      </c>
      <c r="Z34" s="188">
        <f>Олонецкое!Y34+Туксинское!Z34+'Ильинское '!Z34+Видлицкое!Z34+Мегрегское!Z34+Куйтежское!Z34+Михайловское!Z34+Коверское!Z34+Коткозерское!Z34</f>
        <v>79</v>
      </c>
      <c r="AA34" s="300">
        <f>Олонецкое!Z34+Туксинское!AA34+'Ильинское '!AA34+Видлицкое!AA34+Мегрегское!AA34+Куйтежское!AA34+Михайловское!AA34+Коверское!AA34+Коткозерское!AA34</f>
        <v>107</v>
      </c>
      <c r="AB34" s="188">
        <f>Олонецкое!AA34+Туксинское!AB34+'Ильинское '!AB34+Видлицкое!AB34+Мегрегское!AB34+Куйтежское!AB34+Михайловское!AB34+Коверское!AB34+Коткозерское!AB34</f>
        <v>12</v>
      </c>
      <c r="AC34" s="188">
        <f>Олонецкое!AB34+Туксинское!AC34+'Ильинское '!AC34+Видлицкое!AC34+Мегрегское!AC34+Куйтежское!AC34+Михайловское!AC34+Коверское!AC34+Коткозерское!AC34</f>
        <v>67.5</v>
      </c>
      <c r="AD34" s="188">
        <f>Олонецкое!AC34+Туксинское!AD34+'Ильинское '!AD34+Видлицкое!AD34+Мегрегское!AD34+Куйтежское!AD34+Михайловское!AD34+Коверское!AD34+Коткозерское!AD34</f>
        <v>27.5</v>
      </c>
    </row>
    <row r="35" spans="1:30" ht="13.5" thickBot="1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190">
        <f>Олонецкое!K35+Туксинское!K35+'Ильинское '!K35+Видлицкое!K35+Мегрегское!K35+Куйтежское!K35+Михайловское!K35+Коверское!K35+Коткозерское!K35</f>
        <v>149.4</v>
      </c>
      <c r="L35" s="188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M35" s="188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N35" s="188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O35" s="300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P35" s="188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Q35" s="188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R35" s="188">
        <f>Олонецкое!Q35+Туксинское!R35+'Ильинское '!R35+Видлицкое!R35+Мегрегское!R35+Куйтежское!R35+Михайловское!R35+Коверское!R35+Коткозерское!R35</f>
        <v>0</v>
      </c>
      <c r="S35" s="300">
        <f>Олонецкое!R35+Туксинское!S35+'Ильинское '!S35+Видлицкое!S35+Мегрегское!S35+Куйтежское!S35+Михайловское!S35+Коверское!S35+Коткозерское!S35</f>
        <v>0</v>
      </c>
      <c r="T35" s="188">
        <f>Олонецкое!S35+Туксинское!T35+'Ильинское '!T35+Видлицкое!T35+Мегрегское!T35+Куйтежское!T35+Михайловское!T35+Коверское!T35+Коткозерское!T35</f>
        <v>0</v>
      </c>
      <c r="U35" s="188">
        <f>Олонецкое!T35+Туксинское!U35+'Ильинское '!U35+Видлицкое!U35+Мегрегское!U35+Куйтежское!U35+Михайловское!U35+Коверское!U35+Коткозерское!U35</f>
        <v>0</v>
      </c>
      <c r="V35" s="188">
        <f>Олонецкое!U35+Туксинское!V35+'Ильинское '!V35+Видлицкое!V35+Мегрегское!V35+Куйтежское!V35+Михайловское!V35+Коверское!V35+Коткозерское!V35</f>
        <v>0</v>
      </c>
      <c r="W35" s="300">
        <f>Олонецкое!V35+Туксинское!W35+'Ильинское '!W35+Видлицкое!W35+Мегрегское!W35+Куйтежское!W35+Михайловское!W35+Коверское!W35+Коткозерское!W35</f>
        <v>24</v>
      </c>
      <c r="X35" s="188">
        <f>Олонецкое!W35+Туксинское!X35+'Ильинское '!X35+Видлицкое!X35+Мегрегское!X35+Куйтежское!X35+Михайловское!X35+Коверское!X35+Коткозерское!X35</f>
        <v>1</v>
      </c>
      <c r="Y35" s="188">
        <f>Олонецкое!X35+Туксинское!Y35+'Ильинское '!Y35+Видлицкое!Y35+Мегрегское!Y35+Куйтежское!Y35+Михайловское!Y35+Коверское!Y35+Коткозерское!Y35</f>
        <v>8</v>
      </c>
      <c r="Z35" s="188">
        <f>Олонецкое!Y35+Туксинское!Z35+'Ильинское '!Z35+Видлицкое!Z35+Мегрегское!Z35+Куйтежское!Z35+Михайловское!Z35+Коверское!Z35+Коткозерское!Z35</f>
        <v>15</v>
      </c>
      <c r="AA35" s="300">
        <f>Олонецкое!Z35+Туксинское!AA35+'Ильинское '!AA35+Видлицкое!AA35+Мегрегское!AA35+Куйтежское!AA35+Михайловское!AA35+Коверское!AA35+Коткозерское!AA35</f>
        <v>47</v>
      </c>
      <c r="AB35" s="188">
        <f>Олонецкое!AA35+Туксинское!AB35+'Ильинское '!AB35+Видлицкое!AB35+Мегрегское!AB35+Куйтежское!AB35+Михайловское!AB35+Коверское!AB35+Коткозерское!AB35</f>
        <v>12</v>
      </c>
      <c r="AC35" s="188">
        <f>Олонецкое!AB35+Туксинское!AC35+'Ильинское '!AC35+Видлицкое!AC35+Мегрегское!AC35+Куйтежское!AC35+Михайловское!AC35+Коверское!AC35+Коткозерское!AC35</f>
        <v>27.5</v>
      </c>
      <c r="AD35" s="188">
        <f>Олонецкое!AC35+Туксинское!AD35+'Ильинское '!AD35+Видлицкое!AD35+Мегрегское!AD35+Куйтежское!AD35+Михайловское!AD35+Коверское!AD35+Коткозерское!AD35</f>
        <v>7.5</v>
      </c>
    </row>
    <row r="36" spans="1:30" ht="13.5" hidden="1" thickBo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190">
        <f>Олонецкое!K36+Туксинское!K36+'Ильинское '!K36+Видлицкое!K36+Мегрегское!K36+Куйтежское!K36+Михайловское!K36+Коверское!K36+Коткозерское!K36</f>
        <v>0</v>
      </c>
      <c r="L36" s="188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M36" s="188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N36" s="188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O36" s="300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P36" s="188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Q36" s="188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R36" s="188">
        <f>Олонецкое!Q36+Туксинское!R36+'Ильинское '!R36+Видлицкое!R36+Мегрегское!R36+Куйтежское!R36+Михайловское!R36+Коверское!R36+Коткозерское!R36</f>
        <v>0</v>
      </c>
      <c r="S36" s="300">
        <f>Олонецкое!R36+Туксинское!S36+'Ильинское '!S36+Видлицкое!S36+Мегрегское!S36+Куйтежское!S36+Михайловское!S36+Коверское!S36+Коткозерское!S36</f>
        <v>0</v>
      </c>
      <c r="T36" s="188">
        <f>Олонецкое!S36+Туксинское!T36+'Ильинское '!T36+Видлицкое!T36+Мегрегское!T36+Куйтежское!T36+Михайловское!T36+Коверское!T36+Коткозерское!T36</f>
        <v>0</v>
      </c>
      <c r="U36" s="188">
        <f>Олонецкое!T36+Туксинское!U36+'Ильинское '!U36+Видлицкое!U36+Мегрегское!U36+Куйтежское!U36+Михайловское!U36+Коверское!U36+Коткозерское!U36</f>
        <v>0</v>
      </c>
      <c r="V36" s="188">
        <f>Олонецкое!U36+Туксинское!V36+'Ильинское '!V36+Видлицкое!V36+Мегрегское!V36+Куйтежское!V36+Михайловское!V36+Коверское!V36+Коткозерское!V36</f>
        <v>0</v>
      </c>
      <c r="W36" s="300">
        <f>Олонецкое!V36+Туксинское!W36+'Ильинское '!W36+Видлицкое!W36+Мегрегское!W36+Куйтежское!W36+Михайловское!W36+Коверское!W36+Коткозерское!W36</f>
        <v>0</v>
      </c>
      <c r="X36" s="188">
        <f>Олонецкое!W36+Туксинское!X36+'Ильинское '!X36+Видлицкое!X36+Мегрегское!X36+Куйтежское!X36+Михайловское!X36+Коверское!X36+Коткозерское!X36</f>
        <v>0</v>
      </c>
      <c r="Y36" s="188">
        <f>Олонецкое!X36+Туксинское!Y36+'Ильинское '!Y36+Видлицкое!Y36+Мегрегское!Y36+Куйтежское!Y36+Михайловское!Y36+Коверское!Y36+Коткозерское!Y36</f>
        <v>0</v>
      </c>
      <c r="Z36" s="188">
        <f>Олонецкое!Y36+Туксинское!Z36+'Ильинское '!Z36+Видлицкое!Z36+Мегрегское!Z36+Куйтежское!Z36+Михайловское!Z36+Коверское!Z36+Коткозерское!Z36</f>
        <v>0</v>
      </c>
      <c r="AA36" s="300">
        <f>Олонецкое!Z36+Туксинское!AA36+'Ильинское '!AA36+Видлицкое!AA36+Мегрегское!AA36+Куйтежское!AA36+Михайловское!AA36+Коверское!AA36+Коткозерское!AA36</f>
        <v>0</v>
      </c>
      <c r="AB36" s="188">
        <f>Олонецкое!AA36+Туксинское!AB36+'Ильинское '!AB36+Видлицкое!AB36+Мегрегское!AB36+Куйтежское!AB36+Михайловское!AB36+Коверское!AB36+Коткозерское!AB36</f>
        <v>0</v>
      </c>
      <c r="AC36" s="188">
        <f>Олонецкое!AB36+Туксинское!AC36+'Ильинское '!AC36+Видлицкое!AC36+Мегрегское!AC36+Куйтежское!AC36+Михайловское!AC36+Коверское!AC36+Коткозерское!AC36</f>
        <v>0</v>
      </c>
      <c r="AD36" s="188">
        <f>Олонецкое!AC36+Туксинское!AD36+'Ильинское '!AD36+Видлицкое!AD36+Мегрегское!AD36+Куйтежское!AD36+Михайловское!AD36+Коверское!AD36+Коткозерское!AD36</f>
        <v>0</v>
      </c>
    </row>
    <row r="37" spans="1:31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190">
        <f>Олонецкое!K37+Туксинское!K37+'Ильинское '!K37+Видлицкое!K37+Мегрегское!K37+Куйтежское!K37+Михайловское!K37+Коверское!K37+Коткозерское!K37</f>
        <v>1247.1</v>
      </c>
      <c r="L37" s="188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M37" s="188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N37" s="188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O37" s="300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P37" s="188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Q37" s="188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R37" s="188">
        <f>Олонецкое!Q37+Туксинское!R37+'Ильинское '!R37+Видлицкое!R37+Мегрегское!R37+Куйтежское!R37+Михайловское!R37+Коверское!R37+Коткозерское!R37</f>
        <v>0</v>
      </c>
      <c r="S37" s="300">
        <f>Олонецкое!R37+Туксинское!S37+'Ильинское '!S37+Видлицкое!S37+Мегрегское!S37+Куйтежское!S37+Михайловское!S37+Коверское!S37+Коткозерское!S37</f>
        <v>30</v>
      </c>
      <c r="T37" s="188">
        <f>Олонецкое!S37+Туксинское!T37+'Ильинское '!T37+Видлицкое!T37+Мегрегское!T37+Куйтежское!T37+Михайловское!T37+Коверское!T37+Коткозерское!T37</f>
        <v>30</v>
      </c>
      <c r="U37" s="188">
        <f>Олонецкое!T37+Туксинское!U37+'Ильинское '!U37+Видлицкое!U37+Мегрегское!U37+Куйтежское!U37+Михайловское!U37+Коверское!U37+Коткозерское!U37</f>
        <v>0</v>
      </c>
      <c r="V37" s="188">
        <f>Олонецкое!U37+Туксинское!V37+'Ильинское '!V37+Видлицкое!V37+Мегрегское!V37+Куйтежское!V37+Михайловское!V37+Коверское!V37+Коткозерское!V37</f>
        <v>0</v>
      </c>
      <c r="W37" s="300">
        <f>Олонецкое!V37+Туксинское!W37+'Ильинское '!W37+Видлицкое!W37+Мегрегское!W37+Куйтежское!W37+Михайловское!W37+Коверское!W37+Коткозерское!W37</f>
        <v>64</v>
      </c>
      <c r="X37" s="188">
        <f>Олонецкое!W37+Туксинское!X37+'Ильинское '!X37+Видлицкое!X37+Мегрегское!X37+Куйтежское!X37+Михайловское!X37+Коверское!X37+Коткозерское!X37</f>
        <v>0</v>
      </c>
      <c r="Y37" s="188">
        <f>Олонецкое!X37+Туксинское!Y37+'Ильинское '!Y37+Видлицкое!Y37+Мегрегское!Y37+Куйтежское!Y37+Михайловское!Y37+Коверское!Y37+Коткозерское!Y37</f>
        <v>0</v>
      </c>
      <c r="Z37" s="188">
        <f>Олонецкое!Y37+Туксинское!Z37+'Ильинское '!Z37+Видлицкое!Z37+Мегрегское!Z37+Куйтежское!Z37+Михайловское!Z37+Коверское!Z37+Коткозерское!Z37</f>
        <v>64</v>
      </c>
      <c r="AA37" s="300">
        <f>Олонецкое!Z37+Туксинское!AA37+'Ильинское '!AA37+Видлицкое!AA37+Мегрегское!AA37+Куйтежское!AA37+Михайловское!AA37+Коверское!AA37+Коткозерское!AA37</f>
        <v>60</v>
      </c>
      <c r="AB37" s="188">
        <f>Олонецкое!AA37+Туксинское!AB37+'Ильинское '!AB37+Видлицкое!AB37+Мегрегское!AB37+Куйтежское!AB37+Михайловское!AB37+Коверское!AB37+Коткозерское!AB37</f>
        <v>0</v>
      </c>
      <c r="AC37" s="188">
        <f>Олонецкое!AB37+Туксинское!AC37+'Ильинское '!AC37+Видлицкое!AC37+Мегрегское!AC37+Куйтежское!AC37+Михайловское!AC37+Коверское!AC37+Коткозерское!AC37</f>
        <v>40</v>
      </c>
      <c r="AD37" s="188">
        <f>Олонецкое!AC37+Туксинское!AD37+'Ильинское '!AD37+Видлицкое!AD37+Мегрегское!AD37+Куйтежское!AD37+Михайловское!AD37+Коверское!AD37+Коткозерское!AD37</f>
        <v>20</v>
      </c>
      <c r="AE37">
        <f>AA37+W37+S37+O37</f>
        <v>154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193">
        <f>Олонецкое!K38+Туксинское!K38+'Ильинское '!K38+Видлицкое!K38+Мегрегское!K38+Куйтежское!K38+Михайловское!K38+Коверское!K38+Коткозерское!K38</f>
        <v>0</v>
      </c>
      <c r="L38" s="188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M38" s="188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N38" s="188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O38" s="300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P38" s="188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Q38" s="188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R38" s="188">
        <f>Олонецкое!Q38+Туксинское!R38+'Ильинское '!R38+Видлицкое!R38+Мегрегское!R38+Куйтежское!R38+Михайловское!R38+Коверское!R38+Коткозерское!R38</f>
        <v>0</v>
      </c>
      <c r="S38" s="300">
        <f>Олонецкое!R38+Туксинское!S38+'Ильинское '!S38+Видлицкое!S38+Мегрегское!S38+Куйтежское!S38+Михайловское!S38+Коверское!S38+Коткозерское!S38</f>
        <v>0</v>
      </c>
      <c r="T38" s="188">
        <f>Олонецкое!S38+Туксинское!T38+'Ильинское '!T38+Видлицкое!T38+Мегрегское!T38+Куйтежское!T38+Михайловское!T38+Коверское!T38+Коткозерское!T38</f>
        <v>0</v>
      </c>
      <c r="U38" s="188">
        <f>Олонецкое!T38+Туксинское!U38+'Ильинское '!U38+Видлицкое!U38+Мегрегское!U38+Куйтежское!U38+Михайловское!U38+Коверское!U38+Коткозерское!U38</f>
        <v>0</v>
      </c>
      <c r="V38" s="188">
        <f>Олонецкое!U38+Туксинское!V38+'Ильинское '!V38+Видлицкое!V38+Мегрегское!V38+Куйтежское!V38+Михайловское!V38+Коверское!V38+Коткозерское!V38</f>
        <v>0</v>
      </c>
      <c r="W38" s="300">
        <f>Олонецкое!V38+Туксинское!W38+'Ильинское '!W38+Видлицкое!W38+Мегрегское!W38+Куйтежское!W38+Михайловское!W38+Коверское!W38+Коткозерское!W38</f>
        <v>0</v>
      </c>
      <c r="X38" s="188">
        <f>Олонецкое!W38+Туксинское!X38+'Ильинское '!X38+Видлицкое!X38+Мегрегское!X38+Куйтежское!X38+Михайловское!X38+Коверское!X38+Коткозерское!X38</f>
        <v>0</v>
      </c>
      <c r="Y38" s="188">
        <f>Олонецкое!X38+Туксинское!Y38+'Ильинское '!Y38+Видлицкое!Y38+Мегрегское!Y38+Куйтежское!Y38+Михайловское!Y38+Коверское!Y38+Коткозерское!Y38</f>
        <v>0</v>
      </c>
      <c r="Z38" s="188">
        <f>Олонецкое!Y38+Туксинское!Z38+'Ильинское '!Z38+Видлицкое!Z38+Мегрегское!Z38+Куйтежское!Z38+Михайловское!Z38+Коверское!Z38+Коткозерское!Z38</f>
        <v>0</v>
      </c>
      <c r="AA38" s="300">
        <f>Олонецкое!Z38+Туксинское!AA38+'Ильинское '!AA38+Видлицкое!AA38+Мегрегское!AA38+Куйтежское!AA38+Михайловское!AA38+Коверское!AA38+Коткозерское!AA38</f>
        <v>0</v>
      </c>
      <c r="AB38" s="188">
        <f>Олонецкое!AA38+Туксинское!AB38+'Ильинское '!AB38+Видлицкое!AB38+Мегрегское!AB38+Куйтежское!AB38+Михайловское!AB38+Коверское!AB38+Коткозерское!AB38</f>
        <v>0</v>
      </c>
      <c r="AC38" s="188">
        <f>Олонецкое!AB38+Туксинское!AC38+'Ильинское '!AC38+Видлицкое!AC38+Мегрегское!AC38+Куйтежское!AC38+Михайловское!AC38+Коверское!AC38+Коткозерское!AC38</f>
        <v>0</v>
      </c>
      <c r="AD38" s="188">
        <f>Олонецкое!AC38+Туксинское!AD38+'Ильинское '!AD38+Видлицкое!AD38+Мегрегское!AD38+Куйтежское!AD38+Михайловское!AD38+Коверское!AD38+Коткозерское!AD38</f>
        <v>0</v>
      </c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194">
        <f>Олонецкое!K39+Туксинское!K39+'Ильинское '!K39+Видлицкое!K39+Мегрегское!K39+Куйтежское!K39+Михайловское!K39+Коверское!K39+Коткозерское!K39</f>
        <v>0</v>
      </c>
      <c r="L39" s="188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M39" s="188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N39" s="188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O39" s="300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P39" s="188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Q39" s="188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R39" s="188">
        <f>Олонецкое!Q39+Туксинское!R39+'Ильинское '!R39+Видлицкое!R39+Мегрегское!R39+Куйтежское!R39+Михайловское!R39+Коверское!R39+Коткозерское!R39</f>
        <v>0</v>
      </c>
      <c r="S39" s="300">
        <f>Олонецкое!R39+Туксинское!S39+'Ильинское '!S39+Видлицкое!S39+Мегрегское!S39+Куйтежское!S39+Михайловское!S39+Коверское!S39+Коткозерское!S39</f>
        <v>0</v>
      </c>
      <c r="T39" s="188">
        <f>Олонецкое!S39+Туксинское!T39+'Ильинское '!T39+Видлицкое!T39+Мегрегское!T39+Куйтежское!T39+Михайловское!T39+Коверское!T39+Коткозерское!T39</f>
        <v>0</v>
      </c>
      <c r="U39" s="188">
        <f>Олонецкое!T39+Туксинское!U39+'Ильинское '!U39+Видлицкое!U39+Мегрегское!U39+Куйтежское!U39+Михайловское!U39+Коверское!U39+Коткозерское!U39</f>
        <v>0</v>
      </c>
      <c r="V39" s="188">
        <f>Олонецкое!U39+Туксинское!V39+'Ильинское '!V39+Видлицкое!V39+Мегрегское!V39+Куйтежское!V39+Михайловское!V39+Коверское!V39+Коткозерское!V39</f>
        <v>0</v>
      </c>
      <c r="W39" s="300">
        <f>Олонецкое!V39+Туксинское!W39+'Ильинское '!W39+Видлицкое!W39+Мегрегское!W39+Куйтежское!W39+Михайловское!W39+Коверское!W39+Коткозерское!W39</f>
        <v>0</v>
      </c>
      <c r="X39" s="188">
        <f>Олонецкое!W39+Туксинское!X39+'Ильинское '!X39+Видлицкое!X39+Мегрегское!X39+Куйтежское!X39+Михайловское!X39+Коверское!X39+Коткозерское!X39</f>
        <v>0</v>
      </c>
      <c r="Y39" s="188">
        <f>Олонецкое!X39+Туксинское!Y39+'Ильинское '!Y39+Видлицкое!Y39+Мегрегское!Y39+Куйтежское!Y39+Михайловское!Y39+Коверское!Y39+Коткозерское!Y39</f>
        <v>0</v>
      </c>
      <c r="Z39" s="188">
        <f>Олонецкое!Y39+Туксинское!Z39+'Ильинское '!Z39+Видлицкое!Z39+Мегрегское!Z39+Куйтежское!Z39+Михайловское!Z39+Коверское!Z39+Коткозерское!Z39</f>
        <v>0</v>
      </c>
      <c r="AA39" s="300">
        <f>Олонецкое!Z39+Туксинское!AA39+'Ильинское '!AA39+Видлицкое!AA39+Мегрегское!AA39+Куйтежское!AA39+Михайловское!AA39+Коверское!AA39+Коткозерское!AA39</f>
        <v>0</v>
      </c>
      <c r="AB39" s="188">
        <f>Олонецкое!AA39+Туксинское!AB39+'Ильинское '!AB39+Видлицкое!AB39+Мегрегское!AB39+Куйтежское!AB39+Михайловское!AB39+Коверское!AB39+Коткозерское!AB39</f>
        <v>0</v>
      </c>
      <c r="AC39" s="188">
        <f>Олонецкое!AB39+Туксинское!AC39+'Ильинское '!AC39+Видлицкое!AC39+Мегрегское!AC39+Куйтежское!AC39+Михайловское!AC39+Коверское!AC39+Коткозерское!AC39</f>
        <v>0</v>
      </c>
      <c r="AD39" s="188">
        <f>Олонецкое!AC39+Туксинское!AD39+'Ильинское '!AD39+Видлицкое!AD39+Мегрегское!AD39+Куйтежское!AD39+Михайловское!AD39+Коверское!AD39+Коткозерское!AD39</f>
        <v>0</v>
      </c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195">
        <f>Олонецкое!K40+Туксинское!K40+'Ильинское '!K40+Видлицкое!K40+Мегрегское!K40+Куйтежское!K40+Михайловское!K40+Коверское!K40+Коткозерское!K40</f>
        <v>0</v>
      </c>
      <c r="L40" s="188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M40" s="188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N40" s="188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O40" s="300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P40" s="188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Q40" s="188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R40" s="188">
        <f>Олонецкое!Q40+Туксинское!R40+'Ильинское '!R40+Видлицкое!R40+Мегрегское!R40+Куйтежское!R40+Михайловское!R40+Коверское!R40+Коткозерское!R40</f>
        <v>0</v>
      </c>
      <c r="S40" s="300">
        <f>Олонецкое!R40+Туксинское!S40+'Ильинское '!S40+Видлицкое!S40+Мегрегское!S40+Куйтежское!S40+Михайловское!S40+Коверское!S40+Коткозерское!S40</f>
        <v>0</v>
      </c>
      <c r="T40" s="188">
        <f>Олонецкое!S40+Туксинское!T40+'Ильинское '!T40+Видлицкое!T40+Мегрегское!T40+Куйтежское!T40+Михайловское!T40+Коверское!T40+Коткозерское!T40</f>
        <v>0</v>
      </c>
      <c r="U40" s="188">
        <f>Олонецкое!T40+Туксинское!U40+'Ильинское '!U40+Видлицкое!U40+Мегрегское!U40+Куйтежское!U40+Михайловское!U40+Коверское!U40+Коткозерское!U40</f>
        <v>0</v>
      </c>
      <c r="V40" s="188">
        <f>Олонецкое!U40+Туксинское!V40+'Ильинское '!V40+Видлицкое!V40+Мегрегское!V40+Куйтежское!V40+Михайловское!V40+Коверское!V40+Коткозерское!V40</f>
        <v>0</v>
      </c>
      <c r="W40" s="300">
        <f>Олонецкое!V40+Туксинское!W40+'Ильинское '!W40+Видлицкое!W40+Мегрегское!W40+Куйтежское!W40+Михайловское!W40+Коверское!W40+Коткозерское!W40</f>
        <v>0</v>
      </c>
      <c r="X40" s="188">
        <f>Олонецкое!W40+Туксинское!X40+'Ильинское '!X40+Видлицкое!X40+Мегрегское!X40+Куйтежское!X40+Михайловское!X40+Коверское!X40+Коткозерское!X40</f>
        <v>0</v>
      </c>
      <c r="Y40" s="188">
        <f>Олонецкое!X40+Туксинское!Y40+'Ильинское '!Y40+Видлицкое!Y40+Мегрегское!Y40+Куйтежское!Y40+Михайловское!Y40+Коверское!Y40+Коткозерское!Y40</f>
        <v>0</v>
      </c>
      <c r="Z40" s="188">
        <f>Олонецкое!Y40+Туксинское!Z40+'Ильинское '!Z40+Видлицкое!Z40+Мегрегское!Z40+Куйтежское!Z40+Михайловское!Z40+Коверское!Z40+Коткозерское!Z40</f>
        <v>0</v>
      </c>
      <c r="AA40" s="300">
        <f>Олонецкое!Z40+Туксинское!AA40+'Ильинское '!AA40+Видлицкое!AA40+Мегрегское!AA40+Куйтежское!AA40+Михайловское!AA40+Коверское!AA40+Коткозерское!AA40</f>
        <v>0</v>
      </c>
      <c r="AB40" s="188">
        <f>Олонецкое!AA40+Туксинское!AB40+'Ильинское '!AB40+Видлицкое!AB40+Мегрегское!AB40+Куйтежское!AB40+Михайловское!AB40+Коверское!AB40+Коткозерское!AB40</f>
        <v>0</v>
      </c>
      <c r="AC40" s="188">
        <f>Олонецкое!AB40+Туксинское!AC40+'Ильинское '!AC40+Видлицкое!AC40+Мегрегское!AC40+Куйтежское!AC40+Михайловское!AC40+Коверское!AC40+Коткозерское!AC40</f>
        <v>0</v>
      </c>
      <c r="AD40" s="188">
        <f>Олонецкое!AC40+Туксинское!AD40+'Ильинское '!AD40+Видлицкое!AD40+Мегрегское!AD40+Куйтежское!AD40+Михайловское!AD40+Коверское!AD40+Коткозерское!AD40</f>
        <v>0</v>
      </c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96">
        <f>Олонецкое!K41+Туксинское!K41+'Ильинское '!K41+Видлицкое!K41+Мегрегское!K41+Куйтежское!K41+Михайловское!K41+Коверское!K41+Коткозерское!K41</f>
        <v>0</v>
      </c>
      <c r="L41" s="188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M41" s="188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N41" s="188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O41" s="300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P41" s="188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Q41" s="188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R41" s="188">
        <f>Олонецкое!Q41+Туксинское!R41+'Ильинское '!R41+Видлицкое!R41+Мегрегское!R41+Куйтежское!R41+Михайловское!R41+Коверское!R41+Коткозерское!R41</f>
        <v>0</v>
      </c>
      <c r="S41" s="300">
        <f>Олонецкое!R41+Туксинское!S41+'Ильинское '!S41+Видлицкое!S41+Мегрегское!S41+Куйтежское!S41+Михайловское!S41+Коверское!S41+Коткозерское!S41</f>
        <v>0</v>
      </c>
      <c r="T41" s="188">
        <f>Олонецкое!S41+Туксинское!T41+'Ильинское '!T41+Видлицкое!T41+Мегрегское!T41+Куйтежское!T41+Михайловское!T41+Коверское!T41+Коткозерское!T41</f>
        <v>0</v>
      </c>
      <c r="U41" s="188">
        <f>Олонецкое!T41+Туксинское!U41+'Ильинское '!U41+Видлицкое!U41+Мегрегское!U41+Куйтежское!U41+Михайловское!U41+Коверское!U41+Коткозерское!U41</f>
        <v>0</v>
      </c>
      <c r="V41" s="188">
        <f>Олонецкое!U41+Туксинское!V41+'Ильинское '!V41+Видлицкое!V41+Мегрегское!V41+Куйтежское!V41+Михайловское!V41+Коверское!V41+Коткозерское!V41</f>
        <v>0</v>
      </c>
      <c r="W41" s="300">
        <f>Олонецкое!V41+Туксинское!W41+'Ильинское '!W41+Видлицкое!W41+Мегрегское!W41+Куйтежское!W41+Михайловское!W41+Коверское!W41+Коткозерское!W41</f>
        <v>0</v>
      </c>
      <c r="X41" s="188">
        <f>Олонецкое!W41+Туксинское!X41+'Ильинское '!X41+Видлицкое!X41+Мегрегское!X41+Куйтежское!X41+Михайловское!X41+Коверское!X41+Коткозерское!X41</f>
        <v>0</v>
      </c>
      <c r="Y41" s="188">
        <f>Олонецкое!X41+Туксинское!Y41+'Ильинское '!Y41+Видлицкое!Y41+Мегрегское!Y41+Куйтежское!Y41+Михайловское!Y41+Коверское!Y41+Коткозерское!Y41</f>
        <v>0</v>
      </c>
      <c r="Z41" s="188">
        <f>Олонецкое!Y41+Туксинское!Z41+'Ильинское '!Z41+Видлицкое!Z41+Мегрегское!Z41+Куйтежское!Z41+Михайловское!Z41+Коверское!Z41+Коткозерское!Z41</f>
        <v>0</v>
      </c>
      <c r="AA41" s="300">
        <f>Олонецкое!Z41+Туксинское!AA41+'Ильинское '!AA41+Видлицкое!AA41+Мегрегское!AA41+Куйтежское!AA41+Михайловское!AA41+Коверское!AA41+Коткозерское!AA41</f>
        <v>0</v>
      </c>
      <c r="AB41" s="188">
        <f>Олонецкое!AA41+Туксинское!AB41+'Ильинское '!AB41+Видлицкое!AB41+Мегрегское!AB41+Куйтежское!AB41+Михайловское!AB41+Коверское!AB41+Коткозерское!AB41</f>
        <v>0</v>
      </c>
      <c r="AC41" s="188">
        <f>Олонецкое!AB41+Туксинское!AC41+'Ильинское '!AC41+Видлицкое!AC41+Мегрегское!AC41+Куйтежское!AC41+Михайловское!AC41+Коверское!AC41+Коткозерское!AC41</f>
        <v>0</v>
      </c>
      <c r="AD41" s="188">
        <f>Олонецкое!AC41+Туксинское!AD41+'Ильинское '!AD41+Видлицкое!AD41+Мегрегское!AD41+Куйтежское!AD41+Михайловское!AD41+Коверское!AD41+Коткозерское!AD41</f>
        <v>0</v>
      </c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197">
        <f>Олонецкое!K42+Туксинское!K42+'Ильинское '!K42+Видлицкое!K42+Мегрегское!K42+Куйтежское!K42+Михайловское!K42+Коверское!K42+Коткозерское!K42</f>
        <v>0</v>
      </c>
      <c r="L42" s="188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M42" s="188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N42" s="188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O42" s="300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P42" s="188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Q42" s="188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R42" s="188">
        <f>Олонецкое!Q42+Туксинское!R42+'Ильинское '!R42+Видлицкое!R42+Мегрегское!R42+Куйтежское!R42+Михайловское!R42+Коверское!R42+Коткозерское!R42</f>
        <v>0</v>
      </c>
      <c r="S42" s="300">
        <f>Олонецкое!R42+Туксинское!S42+'Ильинское '!S42+Видлицкое!S42+Мегрегское!S42+Куйтежское!S42+Михайловское!S42+Коверское!S42+Коткозерское!S42</f>
        <v>0</v>
      </c>
      <c r="T42" s="188">
        <f>Олонецкое!S42+Туксинское!T42+'Ильинское '!T42+Видлицкое!T42+Мегрегское!T42+Куйтежское!T42+Михайловское!T42+Коверское!T42+Коткозерское!T42</f>
        <v>0</v>
      </c>
      <c r="U42" s="188">
        <f>Олонецкое!T42+Туксинское!U42+'Ильинское '!U42+Видлицкое!U42+Мегрегское!U42+Куйтежское!U42+Михайловское!U42+Коверское!U42+Коткозерское!U42</f>
        <v>0</v>
      </c>
      <c r="V42" s="188">
        <f>Олонецкое!U42+Туксинское!V42+'Ильинское '!V42+Видлицкое!V42+Мегрегское!V42+Куйтежское!V42+Михайловское!V42+Коверское!V42+Коткозерское!V42</f>
        <v>0</v>
      </c>
      <c r="W42" s="300">
        <f>Олонецкое!V42+Туксинское!W42+'Ильинское '!W42+Видлицкое!W42+Мегрегское!W42+Куйтежское!W42+Михайловское!W42+Коверское!W42+Коткозерское!W42</f>
        <v>0</v>
      </c>
      <c r="X42" s="188">
        <f>Олонецкое!W42+Туксинское!X42+'Ильинское '!X42+Видлицкое!X42+Мегрегское!X42+Куйтежское!X42+Михайловское!X42+Коверское!X42+Коткозерское!X42</f>
        <v>0</v>
      </c>
      <c r="Y42" s="188">
        <f>Олонецкое!X42+Туксинское!Y42+'Ильинское '!Y42+Видлицкое!Y42+Мегрегское!Y42+Куйтежское!Y42+Михайловское!Y42+Коверское!Y42+Коткозерское!Y42</f>
        <v>0</v>
      </c>
      <c r="Z42" s="188">
        <f>Олонецкое!Y42+Туксинское!Z42+'Ильинское '!Z42+Видлицкое!Z42+Мегрегское!Z42+Куйтежское!Z42+Михайловское!Z42+Коверское!Z42+Коткозерское!Z42</f>
        <v>0</v>
      </c>
      <c r="AA42" s="300">
        <f>Олонецкое!Z42+Туксинское!AA42+'Ильинское '!AA42+Видлицкое!AA42+Мегрегское!AA42+Куйтежское!AA42+Михайловское!AA42+Коверское!AA42+Коткозерское!AA42</f>
        <v>0</v>
      </c>
      <c r="AB42" s="188">
        <f>Олонецкое!AA42+Туксинское!AB42+'Ильинское '!AB42+Видлицкое!AB42+Мегрегское!AB42+Куйтежское!AB42+Михайловское!AB42+Коверское!AB42+Коткозерское!AB42</f>
        <v>0</v>
      </c>
      <c r="AC42" s="188">
        <f>Олонецкое!AB42+Туксинское!AC42+'Ильинское '!AC42+Видлицкое!AC42+Мегрегское!AC42+Куйтежское!AC42+Михайловское!AC42+Коверское!AC42+Коткозерское!AC42</f>
        <v>0</v>
      </c>
      <c r="AD42" s="188">
        <f>Олонецкое!AC42+Туксинское!AD42+'Ильинское '!AD42+Видлицкое!AD42+Мегрегское!AD42+Куйтежское!AD42+Михайловское!AD42+Коверское!AD42+Коткозерское!AD42</f>
        <v>0</v>
      </c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96">
        <f>Олонецкое!K43+Туксинское!K43+'Ильинское '!K43+Видлицкое!K43+Мегрегское!K43+Куйтежское!K43+Михайловское!K43+Коверское!K43+Коткозерское!K43</f>
        <v>0</v>
      </c>
      <c r="L43" s="188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M43" s="188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N43" s="188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O43" s="300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P43" s="188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Q43" s="188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R43" s="188">
        <f>Олонецкое!Q43+Туксинское!R43+'Ильинское '!R43+Видлицкое!R43+Мегрегское!R43+Куйтежское!R43+Михайловское!R43+Коверское!R43+Коткозерское!R43</f>
        <v>0</v>
      </c>
      <c r="S43" s="300">
        <f>Олонецкое!R43+Туксинское!S43+'Ильинское '!S43+Видлицкое!S43+Мегрегское!S43+Куйтежское!S43+Михайловское!S43+Коверское!S43+Коткозерское!S43</f>
        <v>0</v>
      </c>
      <c r="T43" s="188">
        <f>Олонецкое!S43+Туксинское!T43+'Ильинское '!T43+Видлицкое!T43+Мегрегское!T43+Куйтежское!T43+Михайловское!T43+Коверское!T43+Коткозерское!T43</f>
        <v>0</v>
      </c>
      <c r="U43" s="188">
        <f>Олонецкое!T43+Туксинское!U43+'Ильинское '!U43+Видлицкое!U43+Мегрегское!U43+Куйтежское!U43+Михайловское!U43+Коверское!U43+Коткозерское!U43</f>
        <v>0</v>
      </c>
      <c r="V43" s="188">
        <f>Олонецкое!U43+Туксинское!V43+'Ильинское '!V43+Видлицкое!V43+Мегрегское!V43+Куйтежское!V43+Михайловское!V43+Коверское!V43+Коткозерское!V43</f>
        <v>0</v>
      </c>
      <c r="W43" s="300">
        <f>Олонецкое!V43+Туксинское!W43+'Ильинское '!W43+Видлицкое!W43+Мегрегское!W43+Куйтежское!W43+Михайловское!W43+Коверское!W43+Коткозерское!W43</f>
        <v>0</v>
      </c>
      <c r="X43" s="188">
        <f>Олонецкое!W43+Туксинское!X43+'Ильинское '!X43+Видлицкое!X43+Мегрегское!X43+Куйтежское!X43+Михайловское!X43+Коверское!X43+Коткозерское!X43</f>
        <v>0</v>
      </c>
      <c r="Y43" s="188">
        <f>Олонецкое!X43+Туксинское!Y43+'Ильинское '!Y43+Видлицкое!Y43+Мегрегское!Y43+Куйтежское!Y43+Михайловское!Y43+Коверское!Y43+Коткозерское!Y43</f>
        <v>0</v>
      </c>
      <c r="Z43" s="188">
        <f>Олонецкое!Y43+Туксинское!Z43+'Ильинское '!Z43+Видлицкое!Z43+Мегрегское!Z43+Куйтежское!Z43+Михайловское!Z43+Коверское!Z43+Коткозерское!Z43</f>
        <v>0</v>
      </c>
      <c r="AA43" s="300">
        <f>Олонецкое!Z43+Туксинское!AA43+'Ильинское '!AA43+Видлицкое!AA43+Мегрегское!AA43+Куйтежское!AA43+Михайловское!AA43+Коверское!AA43+Коткозерское!AA43</f>
        <v>0</v>
      </c>
      <c r="AB43" s="188">
        <f>Олонецкое!AA43+Туксинское!AB43+'Ильинское '!AB43+Видлицкое!AB43+Мегрегское!AB43+Куйтежское!AB43+Михайловское!AB43+Коверское!AB43+Коткозерское!AB43</f>
        <v>0</v>
      </c>
      <c r="AC43" s="188">
        <f>Олонецкое!AB43+Туксинское!AC43+'Ильинское '!AC43+Видлицкое!AC43+Мегрегское!AC43+Куйтежское!AC43+Михайловское!AC43+Коверское!AC43+Коткозерское!AC43</f>
        <v>0</v>
      </c>
      <c r="AD43" s="188">
        <f>Олонецкое!AC43+Туксинское!AD43+'Ильинское '!AD43+Видлицкое!AD43+Мегрегское!AD43+Куйтежское!AD43+Михайловское!AD43+Коверское!AD43+Коткозерское!AD43</f>
        <v>0</v>
      </c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f>Олонецкое!K44+Туксинское!K44+'Ильинское '!K44+Видлицкое!K44+Мегрегское!K44+Куйтежское!K44+Михайловское!K44+Коверское!K44+Коткозерское!K44</f>
        <v>0</v>
      </c>
      <c r="L44" s="188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M44" s="188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N44" s="188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O44" s="300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P44" s="188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Q44" s="188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R44" s="188">
        <f>Олонецкое!Q44+Туксинское!R44+'Ильинское '!R44+Видлицкое!R44+Мегрегское!R44+Куйтежское!R44+Михайловское!R44+Коверское!R44+Коткозерское!R44</f>
        <v>0</v>
      </c>
      <c r="S44" s="300">
        <f>Олонецкое!R44+Туксинское!S44+'Ильинское '!S44+Видлицкое!S44+Мегрегское!S44+Куйтежское!S44+Михайловское!S44+Коверское!S44+Коткозерское!S44</f>
        <v>0</v>
      </c>
      <c r="T44" s="188">
        <f>Олонецкое!S44+Туксинское!T44+'Ильинское '!T44+Видлицкое!T44+Мегрегское!T44+Куйтежское!T44+Михайловское!T44+Коверское!T44+Коткозерское!T44</f>
        <v>0</v>
      </c>
      <c r="U44" s="188">
        <f>Олонецкое!T44+Туксинское!U44+'Ильинское '!U44+Видлицкое!U44+Мегрегское!U44+Куйтежское!U44+Михайловское!U44+Коверское!U44+Коткозерское!U44</f>
        <v>0</v>
      </c>
      <c r="V44" s="188">
        <f>Олонецкое!U44+Туксинское!V44+'Ильинское '!V44+Видлицкое!V44+Мегрегское!V44+Куйтежское!V44+Михайловское!V44+Коверское!V44+Коткозерское!V44</f>
        <v>0</v>
      </c>
      <c r="W44" s="300">
        <f>Олонецкое!V44+Туксинское!W44+'Ильинское '!W44+Видлицкое!W44+Мегрегское!W44+Куйтежское!W44+Михайловское!W44+Коверское!W44+Коткозерское!W44</f>
        <v>0</v>
      </c>
      <c r="X44" s="188">
        <f>Олонецкое!W44+Туксинское!X44+'Ильинское '!X44+Видлицкое!X44+Мегрегское!X44+Куйтежское!X44+Михайловское!X44+Коверское!X44+Коткозерское!X44</f>
        <v>0</v>
      </c>
      <c r="Y44" s="188">
        <f>Олонецкое!X44+Туксинское!Y44+'Ильинское '!Y44+Видлицкое!Y44+Мегрегское!Y44+Куйтежское!Y44+Михайловское!Y44+Коверское!Y44+Коткозерское!Y44</f>
        <v>0</v>
      </c>
      <c r="Z44" s="188">
        <f>Олонецкое!Y44+Туксинское!Z44+'Ильинское '!Z44+Видлицкое!Z44+Мегрегское!Z44+Куйтежское!Z44+Михайловское!Z44+Коверское!Z44+Коткозерское!Z44</f>
        <v>0</v>
      </c>
      <c r="AA44" s="300">
        <f>Олонецкое!Z44+Туксинское!AA44+'Ильинское '!AA44+Видлицкое!AA44+Мегрегское!AA44+Куйтежское!AA44+Михайловское!AA44+Коверское!AA44+Коткозерское!AA44</f>
        <v>0</v>
      </c>
      <c r="AB44" s="188">
        <f>Олонецкое!AA44+Туксинское!AB44+'Ильинское '!AB44+Видлицкое!AB44+Мегрегское!AB44+Куйтежское!AB44+Михайловское!AB44+Коверское!AB44+Коткозерское!AB44</f>
        <v>0</v>
      </c>
      <c r="AC44" s="188">
        <f>Олонецкое!AB44+Туксинское!AC44+'Ильинское '!AC44+Видлицкое!AC44+Мегрегское!AC44+Куйтежское!AC44+Михайловское!AC44+Коверское!AC44+Коткозерское!AC44</f>
        <v>0</v>
      </c>
      <c r="AD44" s="188">
        <f>Олонецкое!AC44+Туксинское!AD44+'Ильинское '!AD44+Видлицкое!AD44+Мегрегское!AD44+Куйтежское!AD44+Михайловское!AD44+Коверское!AD44+Коткозерское!AD44</f>
        <v>0</v>
      </c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190">
        <f>Олонецкое!K45+Туксинское!K45+'Ильинское '!K45+Видлицкое!K45+Мегрегское!K45+Куйтежское!K45+Михайловское!K45+Коверское!K45+Коткозерское!K45</f>
        <v>0</v>
      </c>
      <c r="L45" s="188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M45" s="188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N45" s="188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O45" s="300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P45" s="188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Q45" s="188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R45" s="188">
        <f>Олонецкое!Q45+Туксинское!R45+'Ильинское '!R45+Видлицкое!R45+Мегрегское!R45+Куйтежское!R45+Михайловское!R45+Коверское!R45+Коткозерское!R45</f>
        <v>0</v>
      </c>
      <c r="S45" s="300">
        <f>Олонецкое!R45+Туксинское!S45+'Ильинское '!S45+Видлицкое!S45+Мегрегское!S45+Куйтежское!S45+Михайловское!S45+Коверское!S45+Коткозерское!S45</f>
        <v>0</v>
      </c>
      <c r="T45" s="188">
        <f>Олонецкое!S45+Туксинское!T45+'Ильинское '!T45+Видлицкое!T45+Мегрегское!T45+Куйтежское!T45+Михайловское!T45+Коверское!T45+Коткозерское!T45</f>
        <v>0</v>
      </c>
      <c r="U45" s="188">
        <f>Олонецкое!T45+Туксинское!U45+'Ильинское '!U45+Видлицкое!U45+Мегрегское!U45+Куйтежское!U45+Михайловское!U45+Коверское!U45+Коткозерское!U45</f>
        <v>0</v>
      </c>
      <c r="V45" s="188">
        <f>Олонецкое!U45+Туксинское!V45+'Ильинское '!V45+Видлицкое!V45+Мегрегское!V45+Куйтежское!V45+Михайловское!V45+Коверское!V45+Коткозерское!V45</f>
        <v>0</v>
      </c>
      <c r="W45" s="300">
        <f>Олонецкое!V45+Туксинское!W45+'Ильинское '!W45+Видлицкое!W45+Мегрегское!W45+Куйтежское!W45+Михайловское!W45+Коверское!W45+Коткозерское!W45</f>
        <v>0</v>
      </c>
      <c r="X45" s="188">
        <f>Олонецкое!W45+Туксинское!X45+'Ильинское '!X45+Видлицкое!X45+Мегрегское!X45+Куйтежское!X45+Михайловское!X45+Коверское!X45+Коткозерское!X45</f>
        <v>0</v>
      </c>
      <c r="Y45" s="188">
        <f>Олонецкое!X45+Туксинское!Y45+'Ильинское '!Y45+Видлицкое!Y45+Мегрегское!Y45+Куйтежское!Y45+Михайловское!Y45+Коверское!Y45+Коткозерское!Y45</f>
        <v>0</v>
      </c>
      <c r="Z45" s="188">
        <f>Олонецкое!Y45+Туксинское!Z45+'Ильинское '!Z45+Видлицкое!Z45+Мегрегское!Z45+Куйтежское!Z45+Михайловское!Z45+Коверское!Z45+Коткозерское!Z45</f>
        <v>0</v>
      </c>
      <c r="AA45" s="300">
        <f>Олонецкое!Z45+Туксинское!AA45+'Ильинское '!AA45+Видлицкое!AA45+Мегрегское!AA45+Куйтежское!AA45+Михайловское!AA45+Коверское!AA45+Коткозерское!AA45</f>
        <v>0</v>
      </c>
      <c r="AB45" s="188">
        <f>Олонецкое!AA45+Туксинское!AB45+'Ильинское '!AB45+Видлицкое!AB45+Мегрегское!AB45+Куйтежское!AB45+Михайловское!AB45+Коверское!AB45+Коткозерское!AB45</f>
        <v>0</v>
      </c>
      <c r="AC45" s="188">
        <f>Олонецкое!AB45+Туксинское!AC45+'Ильинское '!AC45+Видлицкое!AC45+Мегрегское!AC45+Куйтежское!AC45+Михайловское!AC45+Коверское!AC45+Коткозерское!AC45</f>
        <v>0</v>
      </c>
      <c r="AD45" s="188">
        <f>Олонецкое!AC45+Туксинское!AD45+'Ильинское '!AD45+Видлицкое!AD45+Мегрегское!AD45+Куйтежское!AD45+Михайловское!AD45+Коверское!AD45+Коткозерское!AD45</f>
        <v>0</v>
      </c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198">
        <f>Олонецкое!K46+Туксинское!K46+'Ильинское '!K46+Видлицкое!K46+Мегрегское!K46+Куйтежское!K46+Михайловское!K46+Коверское!K46+Коткозерское!K46</f>
        <v>0</v>
      </c>
      <c r="L46" s="188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M46" s="188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N46" s="188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O46" s="300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P46" s="188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Q46" s="188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R46" s="188">
        <f>Олонецкое!Q46+Туксинское!R46+'Ильинское '!R46+Видлицкое!R46+Мегрегское!R46+Куйтежское!R46+Михайловское!R46+Коверское!R46+Коткозерское!R46</f>
        <v>0</v>
      </c>
      <c r="S46" s="300">
        <f>Олонецкое!R46+Туксинское!S46+'Ильинское '!S46+Видлицкое!S46+Мегрегское!S46+Куйтежское!S46+Михайловское!S46+Коверское!S46+Коткозерское!S46</f>
        <v>0</v>
      </c>
      <c r="T46" s="188">
        <f>Олонецкое!S46+Туксинское!T46+'Ильинское '!T46+Видлицкое!T46+Мегрегское!T46+Куйтежское!T46+Михайловское!T46+Коверское!T46+Коткозерское!T46</f>
        <v>0</v>
      </c>
      <c r="U46" s="188">
        <f>Олонецкое!T46+Туксинское!U46+'Ильинское '!U46+Видлицкое!U46+Мегрегское!U46+Куйтежское!U46+Михайловское!U46+Коверское!U46+Коткозерское!U46</f>
        <v>0</v>
      </c>
      <c r="V46" s="188">
        <f>Олонецкое!U46+Туксинское!V46+'Ильинское '!V46+Видлицкое!V46+Мегрегское!V46+Куйтежское!V46+Михайловское!V46+Коверское!V46+Коткозерское!V46</f>
        <v>0</v>
      </c>
      <c r="W46" s="300">
        <f>Олонецкое!V46+Туксинское!W46+'Ильинское '!W46+Видлицкое!W46+Мегрегское!W46+Куйтежское!W46+Михайловское!W46+Коверское!W46+Коткозерское!W46</f>
        <v>0</v>
      </c>
      <c r="X46" s="188">
        <f>Олонецкое!W46+Туксинское!X46+'Ильинское '!X46+Видлицкое!X46+Мегрегское!X46+Куйтежское!X46+Михайловское!X46+Коверское!X46+Коткозерское!X46</f>
        <v>0</v>
      </c>
      <c r="Y46" s="188">
        <f>Олонецкое!X46+Туксинское!Y46+'Ильинское '!Y46+Видлицкое!Y46+Мегрегское!Y46+Куйтежское!Y46+Михайловское!Y46+Коверское!Y46+Коткозерское!Y46</f>
        <v>0</v>
      </c>
      <c r="Z46" s="188">
        <f>Олонецкое!Y46+Туксинское!Z46+'Ильинское '!Z46+Видлицкое!Z46+Мегрегское!Z46+Куйтежское!Z46+Михайловское!Z46+Коверское!Z46+Коткозерское!Z46</f>
        <v>0</v>
      </c>
      <c r="AA46" s="300">
        <f>Олонецкое!Z46+Туксинское!AA46+'Ильинское '!AA46+Видлицкое!AA46+Мегрегское!AA46+Куйтежское!AA46+Михайловское!AA46+Коверское!AA46+Коткозерское!AA46</f>
        <v>0</v>
      </c>
      <c r="AB46" s="188">
        <f>Олонецкое!AA46+Туксинское!AB46+'Ильинское '!AB46+Видлицкое!AB46+Мегрегское!AB46+Куйтежское!AB46+Михайловское!AB46+Коверское!AB46+Коткозерское!AB46</f>
        <v>0</v>
      </c>
      <c r="AC46" s="188">
        <f>Олонецкое!AB46+Туксинское!AC46+'Ильинское '!AC46+Видлицкое!AC46+Мегрегское!AC46+Куйтежское!AC46+Михайловское!AC46+Коверское!AC46+Коткозерское!AC46</f>
        <v>0</v>
      </c>
      <c r="AD46" s="188">
        <f>Олонецкое!AC46+Туксинское!AD46+'Ильинское '!AD46+Видлицкое!AD46+Мегрегское!AD46+Куйтежское!AD46+Михайловское!AD46+Коверское!AD46+Коткозерское!AD46</f>
        <v>0</v>
      </c>
    </row>
    <row r="47" spans="1:30" ht="26.25" thickBot="1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91">
        <f>Олонецкое!K47+Туксинское!K47+'Ильинское '!K47+Видлицкое!K47+Мегрегское!K47+Куйтежское!K47+Михайловское!K47+Коверское!K47+Коткозерское!K47</f>
        <v>1573</v>
      </c>
      <c r="L47" s="188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M47" s="188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N47" s="188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O47" s="300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P47" s="188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Q47" s="188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R47" s="188">
        <f>Олонецкое!Q47+Туксинское!R47+'Ильинское '!R47+Видлицкое!R47+Мегрегское!R47+Куйтежское!R47+Михайловское!R47+Коверское!R47+Коткозерское!R47</f>
        <v>102</v>
      </c>
      <c r="S47" s="300">
        <f>Олонецкое!R47+Туксинское!S47+'Ильинское '!S47+Видлицкое!S47+Мегрегское!S47+Куйтежское!S47+Михайловское!S47+Коверское!S47+Коткозерское!S47</f>
        <v>289</v>
      </c>
      <c r="T47" s="188">
        <f>Олонецкое!S47+Туксинское!T47+'Ильинское '!T47+Видлицкое!T47+Мегрегское!T47+Куйтежское!T47+Михайловское!T47+Коверское!T47+Коткозерское!T47</f>
        <v>93</v>
      </c>
      <c r="U47" s="188">
        <f>Олонецкое!T47+Туксинское!U47+'Ильинское '!U47+Видлицкое!U47+Мегрегское!U47+Куйтежское!U47+Михайловское!U47+Коверское!U47+Коткозерское!U47</f>
        <v>93</v>
      </c>
      <c r="V47" s="188">
        <f>Олонецкое!U47+Туксинское!V47+'Ильинское '!V47+Видлицкое!V47+Мегрегское!V47+Куйтежское!V47+Михайловское!V47+Коверское!V47+Коткозерское!V47</f>
        <v>103</v>
      </c>
      <c r="W47" s="300">
        <f>Олонецкое!V47+Туксинское!W47+'Ильинское '!W47+Видлицкое!W47+Мегрегское!W47+Куйтежское!W47+Михайловское!W47+Коверское!W47+Коткозерское!W47</f>
        <v>284</v>
      </c>
      <c r="X47" s="188">
        <f>Олонецкое!W47+Туксинское!X47+'Ильинское '!X47+Видлицкое!X47+Мегрегское!X47+Куйтежское!X47+Михайловское!X47+Коверское!X47+Коткозерское!X47</f>
        <v>90.5</v>
      </c>
      <c r="Y47" s="188">
        <f>Олонецкое!X47+Туксинское!Y47+'Ильинское '!Y47+Видлицкое!Y47+Мегрегское!Y47+Куйтежское!Y47+Михайловское!Y47+Коверское!Y47+Коткозерское!Y47</f>
        <v>92</v>
      </c>
      <c r="Z47" s="188">
        <f>Олонецкое!Y47+Туксинское!Z47+'Ильинское '!Z47+Видлицкое!Z47+Мегрегское!Z47+Куйтежское!Z47+Михайловское!Z47+Коверское!Z47+Коткозерское!Z47</f>
        <v>101.5</v>
      </c>
      <c r="AA47" s="300">
        <f>Олонецкое!Z47+Туксинское!AA47+'Ильинское '!AA47+Видлицкое!AA47+Мегрегское!AA47+Куйтежское!AA47+Михайловское!AA47+Коверское!AA47+Коткозерское!AA47</f>
        <v>293</v>
      </c>
      <c r="AB47" s="188">
        <f>Олонецкое!AA47+Туксинское!AB47+'Ильинское '!AB47+Видлицкое!AB47+Мегрегское!AB47+Куйтежское!AB47+Михайловское!AB47+Коверское!AB47+Коткозерское!AB47</f>
        <v>95</v>
      </c>
      <c r="AC47" s="188">
        <f>Олонецкое!AB47+Туксинское!AC47+'Ильинское '!AC47+Видлицкое!AC47+Мегрегское!AC47+Куйтежское!AC47+Михайловское!AC47+Коверское!AC47+Коткозерское!AC47</f>
        <v>95</v>
      </c>
      <c r="AD47" s="188">
        <f>Олонецкое!AC47+Туксинское!AD47+'Ильинское '!AD47+Видлицкое!AD47+Мегрегское!AD47+Куйтежское!AD47+Михайловское!AD47+Коверское!AD47+Коткозерское!AD47</f>
        <v>103</v>
      </c>
    </row>
    <row r="48" spans="1:30" ht="13.5" hidden="1" thickBot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189">
        <f>Олонецкое!K48+Туксинское!K48+'Ильинское '!K48+Видлицкое!K48+Мегрегское!K48+Куйтежское!K48+Михайловское!K48+Коверское!K48+Коткозерское!K48</f>
        <v>0</v>
      </c>
      <c r="L48" s="188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M48" s="188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N48" s="188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O48" s="300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P48" s="188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Q48" s="188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R48" s="188">
        <f>Олонецкое!Q48+Туксинское!R48+'Ильинское '!R48+Видлицкое!R48+Мегрегское!R48+Куйтежское!R48+Михайловское!R48+Коверское!R48+Коткозерское!R48</f>
        <v>0</v>
      </c>
      <c r="S48" s="300">
        <f>Олонецкое!R48+Туксинское!S48+'Ильинское '!S48+Видлицкое!S48+Мегрегское!S48+Куйтежское!S48+Михайловское!S48+Коверское!S48+Коткозерское!S48</f>
        <v>0</v>
      </c>
      <c r="T48" s="188">
        <f>Олонецкое!S48+Туксинское!T48+'Ильинское '!T48+Видлицкое!T48+Мегрегское!T48+Куйтежское!T48+Михайловское!T48+Коверское!T48+Коткозерское!T48</f>
        <v>0</v>
      </c>
      <c r="U48" s="188">
        <f>Олонецкое!T48+Туксинское!U48+'Ильинское '!U48+Видлицкое!U48+Мегрегское!U48+Куйтежское!U48+Михайловское!U48+Коверское!U48+Коткозерское!U48</f>
        <v>0</v>
      </c>
      <c r="V48" s="188">
        <f>Олонецкое!U48+Туксинское!V48+'Ильинское '!V48+Видлицкое!V48+Мегрегское!V48+Куйтежское!V48+Михайловское!V48+Коверское!V48+Коткозерское!V48</f>
        <v>0</v>
      </c>
      <c r="W48" s="300">
        <f>Олонецкое!V48+Туксинское!W48+'Ильинское '!W48+Видлицкое!W48+Мегрегское!W48+Куйтежское!W48+Михайловское!W48+Коверское!W48+Коткозерское!W48</f>
        <v>0</v>
      </c>
      <c r="X48" s="188">
        <f>Олонецкое!W48+Туксинское!X48+'Ильинское '!X48+Видлицкое!X48+Мегрегское!X48+Куйтежское!X48+Михайловское!X48+Коверское!X48+Коткозерское!X48</f>
        <v>0</v>
      </c>
      <c r="Y48" s="188">
        <f>Олонецкое!X48+Туксинское!Y48+'Ильинское '!Y48+Видлицкое!Y48+Мегрегское!Y48+Куйтежское!Y48+Михайловское!Y48+Коверское!Y48+Коткозерское!Y48</f>
        <v>0</v>
      </c>
      <c r="Z48" s="188">
        <f>Олонецкое!Y48+Туксинское!Z48+'Ильинское '!Z48+Видлицкое!Z48+Мегрегское!Z48+Куйтежское!Z48+Михайловское!Z48+Коверское!Z48+Коткозерское!Z48</f>
        <v>0</v>
      </c>
      <c r="AA48" s="300">
        <f>Олонецкое!Z48+Туксинское!AA48+'Ильинское '!AA48+Видлицкое!AA48+Мегрегское!AA48+Куйтежское!AA48+Михайловское!AA48+Коверское!AA48+Коткозерское!AA48</f>
        <v>0</v>
      </c>
      <c r="AB48" s="188">
        <f>Олонецкое!AA48+Туксинское!AB48+'Ильинское '!AB48+Видлицкое!AB48+Мегрегское!AB48+Куйтежское!AB48+Михайловское!AB48+Коверское!AB48+Коткозерское!AB48</f>
        <v>0</v>
      </c>
      <c r="AC48" s="188">
        <f>Олонецкое!AB48+Туксинское!AC48+'Ильинское '!AC48+Видлицкое!AC48+Мегрегское!AC48+Куйтежское!AC48+Михайловское!AC48+Коверское!AC48+Коткозерское!AC48</f>
        <v>0</v>
      </c>
      <c r="AD48" s="188">
        <f>Олонецкое!AC48+Туксинское!AD48+'Ильинское '!AD48+Видлицкое!AD48+Мегрегское!AD48+Куйтежское!AD48+Михайловское!AD48+Коверское!AD48+Коткозерское!AD48</f>
        <v>0</v>
      </c>
    </row>
    <row r="49" spans="1:30" ht="13.5" thickBot="1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99">
        <f>Олонецкое!K49+Туксинское!K49+'Ильинское '!K49+Видлицкое!K49+Мегрегское!K49+Куйтежское!K49+Михайловское!K49+Коверское!K49+Коткозерское!K49</f>
        <v>1353</v>
      </c>
      <c r="L49" s="188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M49" s="188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N49" s="188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O49" s="300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P49" s="188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Q49" s="188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R49" s="188">
        <f>Олонецкое!Q49+Туксинское!R49+'Ильинское '!R49+Видлицкое!R49+Мегрегское!R49+Куйтежское!R49+Михайловское!R49+Коверское!R49+Коткозерское!R49</f>
        <v>81</v>
      </c>
      <c r="S49" s="300">
        <f>Олонецкое!R49+Туксинское!S49+'Ильинское '!S49+Видлицкое!S49+Мегрегское!S49+Куйтежское!S49+Михайловское!S49+Коверское!S49+Коткозерское!S49</f>
        <v>233</v>
      </c>
      <c r="T49" s="188">
        <f>Олонецкое!S49+Туксинское!T49+'Ильинское '!T49+Видлицкое!T49+Мегрегское!T49+Куйтежское!T49+Михайловское!T49+Коверское!T49+Коткозерское!T49</f>
        <v>76</v>
      </c>
      <c r="U49" s="188">
        <f>Олонецкое!T49+Туксинское!U49+'Ильинское '!U49+Видлицкое!U49+Мегрегское!U49+Куйтежское!U49+Михайловское!U49+Коверское!U49+Коткозерское!U49</f>
        <v>75</v>
      </c>
      <c r="V49" s="188">
        <f>Олонецкое!U49+Туксинское!V49+'Ильинское '!V49+Видлицкое!V49+Мегрегское!V49+Куйтежское!V49+Михайловское!V49+Коверское!V49+Коткозерское!V49</f>
        <v>82</v>
      </c>
      <c r="W49" s="300">
        <f>Олонецкое!V49+Туксинское!W49+'Ильинское '!W49+Видлицкое!W49+Мегрегское!W49+Куйтежское!W49+Михайловское!W49+Коверское!W49+Коткозерское!W49</f>
        <v>231</v>
      </c>
      <c r="X49" s="188">
        <f>Олонецкое!W49+Туксинское!X49+'Ильинское '!X49+Видлицкое!X49+Мегрегское!X49+Куйтежское!X49+Михайловское!X49+Коверское!X49+Коткозерское!X49</f>
        <v>75</v>
      </c>
      <c r="Y49" s="188">
        <f>Олонецкое!X49+Туксинское!Y49+'Ильинское '!Y49+Видлицкое!Y49+Мегрегское!Y49+Куйтежское!Y49+Михайловское!Y49+Коверское!Y49+Коткозерское!Y49</f>
        <v>75</v>
      </c>
      <c r="Z49" s="188">
        <f>Олонецкое!Y49+Туксинское!Z49+'Ильинское '!Z49+Видлицкое!Z49+Мегрегское!Z49+Куйтежское!Z49+Михайловское!Z49+Коверское!Z49+Коткозерское!Z49</f>
        <v>81</v>
      </c>
      <c r="AA49" s="300">
        <f>Олонецкое!Z49+Туксинское!AA49+'Ильинское '!AA49+Видлицкое!AA49+Мегрегское!AA49+Куйтежское!AA49+Михайловское!AA49+Коверское!AA49+Коткозерское!AA49</f>
        <v>236</v>
      </c>
      <c r="AB49" s="188">
        <f>Олонецкое!AA49+Туксинское!AB49+'Ильинское '!AB49+Видлицкое!AB49+Мегрегское!AB49+Куйтежское!AB49+Михайловское!AB49+Коверское!AB49+Коткозерское!AB49</f>
        <v>77</v>
      </c>
      <c r="AC49" s="188">
        <f>Олонецкое!AB49+Туксинское!AC49+'Ильинское '!AC49+Видлицкое!AC49+Мегрегское!AC49+Куйтежское!AC49+Михайловское!AC49+Коверское!AC49+Коткозерское!AC49</f>
        <v>77</v>
      </c>
      <c r="AD49" s="188">
        <f>Олонецкое!AC49+Туксинское!AD49+'Ильинское '!AD49+Видлицкое!AD49+Мегрегское!AD49+Куйтежское!AD49+Михайловское!AD49+Коверское!AD49+Коткозерское!AD49</f>
        <v>82</v>
      </c>
    </row>
    <row r="50" spans="1:30" ht="24.75" thickBot="1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200">
        <f>Олонецкое!K50+Туксинское!K50+'Ильинское '!K50+Видлицкое!K50+Мегрегское!K50+Куйтежское!K50+Михайловское!K50+Коверское!K50+Коткозерское!K50</f>
        <v>1353</v>
      </c>
      <c r="L50" s="188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M50" s="188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N50" s="188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O50" s="300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P50" s="188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Q50" s="188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R50" s="188">
        <f>Олонецкое!Q50+Туксинское!R50+'Ильинское '!R50+Видлицкое!R50+Мегрегское!R50+Куйтежское!R50+Михайловское!R50+Коверское!R50+Коткозерское!R50</f>
        <v>81</v>
      </c>
      <c r="S50" s="300">
        <f>Олонецкое!R50+Туксинское!S50+'Ильинское '!S50+Видлицкое!S50+Мегрегское!S50+Куйтежское!S50+Михайловское!S50+Коверское!S50+Коткозерское!S50</f>
        <v>233</v>
      </c>
      <c r="T50" s="188">
        <f>Олонецкое!S50+Туксинское!T50+'Ильинское '!T50+Видлицкое!T50+Мегрегское!T50+Куйтежское!T50+Михайловское!T50+Коверское!T50+Коткозерское!T50</f>
        <v>76</v>
      </c>
      <c r="U50" s="188">
        <f>Олонецкое!T50+Туксинское!U50+'Ильинское '!U50+Видлицкое!U50+Мегрегское!U50+Куйтежское!U50+Михайловское!U50+Коверское!U50+Коткозерское!U50</f>
        <v>75</v>
      </c>
      <c r="V50" s="188">
        <f>Олонецкое!U50+Туксинское!V50+'Ильинское '!V50+Видлицкое!V50+Мегрегское!V50+Куйтежское!V50+Михайловское!V50+Коверское!V50+Коткозерское!V50</f>
        <v>82</v>
      </c>
      <c r="W50" s="300">
        <f>Олонецкое!V50+Туксинское!W50+'Ильинское '!W50+Видлицкое!W50+Мегрегское!W50+Куйтежское!W50+Михайловское!W50+Коверское!W50+Коткозерское!W50</f>
        <v>231</v>
      </c>
      <c r="X50" s="188">
        <f>Олонецкое!W50+Туксинское!X50+'Ильинское '!X50+Видлицкое!X50+Мегрегское!X50+Куйтежское!X50+Михайловское!X50+Коверское!X50+Коткозерское!X50</f>
        <v>75</v>
      </c>
      <c r="Y50" s="188">
        <f>Олонецкое!X50+Туксинское!Y50+'Ильинское '!Y50+Видлицкое!Y50+Мегрегское!Y50+Куйтежское!Y50+Михайловское!Y50+Коверское!Y50+Коткозерское!Y50</f>
        <v>75</v>
      </c>
      <c r="Z50" s="188">
        <f>Олонецкое!Y50+Туксинское!Z50+'Ильинское '!Z50+Видлицкое!Z50+Мегрегское!Z50+Куйтежское!Z50+Михайловское!Z50+Коверское!Z50+Коткозерское!Z50</f>
        <v>81</v>
      </c>
      <c r="AA50" s="300">
        <f>Олонецкое!Z50+Туксинское!AA50+'Ильинское '!AA50+Видлицкое!AA50+Мегрегское!AA50+Куйтежское!AA50+Михайловское!AA50+Коверское!AA50+Коткозерское!AA50</f>
        <v>236</v>
      </c>
      <c r="AB50" s="188">
        <f>Олонецкое!AA50+Туксинское!AB50+'Ильинское '!AB50+Видлицкое!AB50+Мегрегское!AB50+Куйтежское!AB50+Михайловское!AB50+Коверское!AB50+Коткозерское!AB50</f>
        <v>77</v>
      </c>
      <c r="AC50" s="188">
        <f>Олонецкое!AB50+Туксинское!AC50+'Ильинское '!AC50+Видлицкое!AC50+Мегрегское!AC50+Куйтежское!AC50+Михайловское!AC50+Коверское!AC50+Коткозерское!AC50</f>
        <v>77</v>
      </c>
      <c r="AD50" s="188">
        <f>Олонецкое!AC50+Туксинское!AD50+'Ильинское '!AD50+Видлицкое!AD50+Мегрегское!AD50+Куйтежское!AD50+Михайловское!AD50+Коверское!AD50+Коткозерское!AD50</f>
        <v>82</v>
      </c>
    </row>
    <row r="51" spans="1:30" ht="13.5" hidden="1" thickBot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190">
        <f>Олонецкое!K51+Туксинское!K51+'Ильинское '!K51+Видлицкое!K51+Мегрегское!K51+Куйтежское!K51+Михайловское!K51+Коверское!K51+Коткозерское!K51</f>
        <v>0</v>
      </c>
      <c r="L51" s="188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M51" s="188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N51" s="188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O51" s="300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P51" s="188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Q51" s="188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R51" s="188">
        <f>Олонецкое!Q51+Туксинское!R51+'Ильинское '!R51+Видлицкое!R51+Мегрегское!R51+Куйтежское!R51+Михайловское!R51+Коверское!R51+Коткозерское!R51</f>
        <v>0</v>
      </c>
      <c r="S51" s="300">
        <f>Олонецкое!R51+Туксинское!S51+'Ильинское '!S51+Видлицкое!S51+Мегрегское!S51+Куйтежское!S51+Михайловское!S51+Коверское!S51+Коткозерское!S51</f>
        <v>0</v>
      </c>
      <c r="T51" s="188">
        <f>Олонецкое!S51+Туксинское!T51+'Ильинское '!T51+Видлицкое!T51+Мегрегское!T51+Куйтежское!T51+Михайловское!T51+Коверское!T51+Коткозерское!T51</f>
        <v>0</v>
      </c>
      <c r="U51" s="188">
        <f>Олонецкое!T51+Туксинское!U51+'Ильинское '!U51+Видлицкое!U51+Мегрегское!U51+Куйтежское!U51+Михайловское!U51+Коверское!U51+Коткозерское!U51</f>
        <v>0</v>
      </c>
      <c r="V51" s="188">
        <f>Олонецкое!U51+Туксинское!V51+'Ильинское '!V51+Видлицкое!V51+Мегрегское!V51+Куйтежское!V51+Михайловское!V51+Коверское!V51+Коткозерское!V51</f>
        <v>0</v>
      </c>
      <c r="W51" s="300">
        <f>Олонецкое!V51+Туксинское!W51+'Ильинское '!W51+Видлицкое!W51+Мегрегское!W51+Куйтежское!W51+Михайловское!W51+Коверское!W51+Коткозерское!W51</f>
        <v>0</v>
      </c>
      <c r="X51" s="188">
        <f>Олонецкое!W51+Туксинское!X51+'Ильинское '!X51+Видлицкое!X51+Мегрегское!X51+Куйтежское!X51+Михайловское!X51+Коверское!X51+Коткозерское!X51</f>
        <v>0</v>
      </c>
      <c r="Y51" s="188">
        <f>Олонецкое!X51+Туксинское!Y51+'Ильинское '!Y51+Видлицкое!Y51+Мегрегское!Y51+Куйтежское!Y51+Михайловское!Y51+Коверское!Y51+Коткозерское!Y51</f>
        <v>0</v>
      </c>
      <c r="Z51" s="188">
        <f>Олонецкое!Y51+Туксинское!Z51+'Ильинское '!Z51+Видлицкое!Z51+Мегрегское!Z51+Куйтежское!Z51+Михайловское!Z51+Коверское!Z51+Коткозерское!Z51</f>
        <v>0</v>
      </c>
      <c r="AA51" s="300">
        <f>Олонецкое!Z51+Туксинское!AA51+'Ильинское '!AA51+Видлицкое!AA51+Мегрегское!AA51+Куйтежское!AA51+Михайловское!AA51+Коверское!AA51+Коткозерское!AA51</f>
        <v>0</v>
      </c>
      <c r="AB51" s="188">
        <f>Олонецкое!AA51+Туксинское!AB51+'Ильинское '!AB51+Видлицкое!AB51+Мегрегское!AB51+Куйтежское!AB51+Михайловское!AB51+Коверское!AB51+Коткозерское!AB51</f>
        <v>0</v>
      </c>
      <c r="AC51" s="188">
        <f>Олонецкое!AB51+Туксинское!AC51+'Ильинское '!AC51+Видлицкое!AC51+Мегрегское!AC51+Куйтежское!AC51+Михайловское!AC51+Коверское!AC51+Коткозерское!AC51</f>
        <v>0</v>
      </c>
      <c r="AD51" s="188">
        <f>Олонецкое!AC51+Туксинское!AD51+'Ильинское '!AD51+Видлицкое!AD51+Мегрегское!AD51+Куйтежское!AD51+Михайловское!AD51+Коверское!AD51+Коткозерское!AD51</f>
        <v>0</v>
      </c>
    </row>
    <row r="52" spans="1:30" ht="13.5" hidden="1" thickBot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190">
        <f>Олонецкое!K52+Туксинское!K52+'Ильинское '!K52+Видлицкое!K52+Мегрегское!K52+Куйтежское!K52+Михайловское!K52+Коверское!K52+Коткозерское!K52</f>
        <v>0</v>
      </c>
      <c r="L52" s="188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M52" s="188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N52" s="188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O52" s="300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P52" s="188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Q52" s="188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R52" s="188">
        <f>Олонецкое!Q52+Туксинское!R52+'Ильинское '!R52+Видлицкое!R52+Мегрегское!R52+Куйтежское!R52+Михайловское!R52+Коверское!R52+Коткозерское!R52</f>
        <v>0</v>
      </c>
      <c r="S52" s="300">
        <f>Олонецкое!R52+Туксинское!S52+'Ильинское '!S52+Видлицкое!S52+Мегрегское!S52+Куйтежское!S52+Михайловское!S52+Коверское!S52+Коткозерское!S52</f>
        <v>0</v>
      </c>
      <c r="T52" s="188">
        <f>Олонецкое!S52+Туксинское!T52+'Ильинское '!T52+Видлицкое!T52+Мегрегское!T52+Куйтежское!T52+Михайловское!T52+Коверское!T52+Коткозерское!T52</f>
        <v>0</v>
      </c>
      <c r="U52" s="188">
        <f>Олонецкое!T52+Туксинское!U52+'Ильинское '!U52+Видлицкое!U52+Мегрегское!U52+Куйтежское!U52+Михайловское!U52+Коверское!U52+Коткозерское!U52</f>
        <v>0</v>
      </c>
      <c r="V52" s="188">
        <f>Олонецкое!U52+Туксинское!V52+'Ильинское '!V52+Видлицкое!V52+Мегрегское!V52+Куйтежское!V52+Михайловское!V52+Коверское!V52+Коткозерское!V52</f>
        <v>0</v>
      </c>
      <c r="W52" s="300">
        <f>Олонецкое!V52+Туксинское!W52+'Ильинское '!W52+Видлицкое!W52+Мегрегское!W52+Куйтежское!W52+Михайловское!W52+Коверское!W52+Коткозерское!W52</f>
        <v>0</v>
      </c>
      <c r="X52" s="188">
        <f>Олонецкое!W52+Туксинское!X52+'Ильинское '!X52+Видлицкое!X52+Мегрегское!X52+Куйтежское!X52+Михайловское!X52+Коверское!X52+Коткозерское!X52</f>
        <v>0</v>
      </c>
      <c r="Y52" s="188">
        <f>Олонецкое!X52+Туксинское!Y52+'Ильинское '!Y52+Видлицкое!Y52+Мегрегское!Y52+Куйтежское!Y52+Михайловское!Y52+Коверское!Y52+Коткозерское!Y52</f>
        <v>0</v>
      </c>
      <c r="Z52" s="188">
        <f>Олонецкое!Y52+Туксинское!Z52+'Ильинское '!Z52+Видлицкое!Z52+Мегрегское!Z52+Куйтежское!Z52+Михайловское!Z52+Коверское!Z52+Коткозерское!Z52</f>
        <v>0</v>
      </c>
      <c r="AA52" s="300">
        <f>Олонецкое!Z52+Туксинское!AA52+'Ильинское '!AA52+Видлицкое!AA52+Мегрегское!AA52+Куйтежское!AA52+Михайловское!AA52+Коверское!AA52+Коткозерское!AA52</f>
        <v>0</v>
      </c>
      <c r="AB52" s="188">
        <f>Олонецкое!AA52+Туксинское!AB52+'Ильинское '!AB52+Видлицкое!AB52+Мегрегское!AB52+Куйтежское!AB52+Михайловское!AB52+Коверское!AB52+Коткозерское!AB52</f>
        <v>0</v>
      </c>
      <c r="AC52" s="188">
        <f>Олонецкое!AB52+Туксинское!AC52+'Ильинское '!AC52+Видлицкое!AC52+Мегрегское!AC52+Куйтежское!AC52+Михайловское!AC52+Коверское!AC52+Коткозерское!AC52</f>
        <v>0</v>
      </c>
      <c r="AD52" s="188">
        <f>Олонецкое!AC52+Туксинское!AD52+'Ильинское '!AD52+Видлицкое!AD52+Мегрегское!AD52+Куйтежское!AD52+Михайловское!AD52+Коверское!AD52+Коткозерское!AD52</f>
        <v>0</v>
      </c>
    </row>
    <row r="53" spans="1:30" ht="24.75" thickBot="1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99">
        <f>Олонецкое!K53+Туксинское!K53+'Ильинское '!K53+Видлицкое!K53+Мегрегское!K53+Куйтежское!K53+Михайловское!K53+Коверское!K53+Коткозерское!K53</f>
        <v>220</v>
      </c>
      <c r="L53" s="188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M53" s="188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N53" s="188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O53" s="300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P53" s="188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Q53" s="188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R53" s="188">
        <f>Олонецкое!Q53+Туксинское!R53+'Ильинское '!R53+Видлицкое!R53+Мегрегское!R53+Куйтежское!R53+Михайловское!R53+Коверское!R53+Коткозерское!R53</f>
        <v>21</v>
      </c>
      <c r="S53" s="300">
        <f>Олонецкое!R53+Туксинское!S53+'Ильинское '!S53+Видлицкое!S53+Мегрегское!S53+Куйтежское!S53+Михайловское!S53+Коверское!S53+Коткозерское!S53</f>
        <v>56</v>
      </c>
      <c r="T53" s="188">
        <f>Олонецкое!S53+Туксинское!T53+'Ильинское '!T53+Видлицкое!T53+Мегрегское!T53+Куйтежское!T53+Михайловское!T53+Коверское!T53+Коткозерское!T53</f>
        <v>17</v>
      </c>
      <c r="U53" s="188">
        <f>Олонецкое!T53+Туксинское!U53+'Ильинское '!U53+Видлицкое!U53+Мегрегское!U53+Куйтежское!U53+Михайловское!U53+Коверское!U53+Коткозерское!U53</f>
        <v>18</v>
      </c>
      <c r="V53" s="188">
        <f>Олонецкое!U53+Туксинское!V53+'Ильинское '!V53+Видлицкое!V53+Мегрегское!V53+Куйтежское!V53+Михайловское!V53+Коверское!V53+Коткозерское!V53</f>
        <v>21</v>
      </c>
      <c r="W53" s="300">
        <f>Олонецкое!V53+Туксинское!W53+'Ильинское '!W53+Видлицкое!W53+Мегрегское!W53+Куйтежское!W53+Михайловское!W53+Коверское!W53+Коткозерское!W53</f>
        <v>53</v>
      </c>
      <c r="X53" s="188">
        <f>Олонецкое!W53+Туксинское!X53+'Ильинское '!X53+Видлицкое!X53+Мегрегское!X53+Куйтежское!X53+Михайловское!X53+Коверское!X53+Коткозерское!X53</f>
        <v>15.5</v>
      </c>
      <c r="Y53" s="188">
        <f>Олонецкое!X53+Туксинское!Y53+'Ильинское '!Y53+Видлицкое!Y53+Мегрегское!Y53+Куйтежское!Y53+Михайловское!Y53+Коверское!Y53+Коткозерское!Y53</f>
        <v>17</v>
      </c>
      <c r="Z53" s="188">
        <f>Олонецкое!Y53+Туксинское!Z53+'Ильинское '!Z53+Видлицкое!Z53+Мегрегское!Z53+Куйтежское!Z53+Михайловское!Z53+Коверское!Z53+Коткозерское!Z53</f>
        <v>20.5</v>
      </c>
      <c r="AA53" s="300">
        <f>Олонецкое!Z53+Туксинское!AA53+'Ильинское '!AA53+Видлицкое!AA53+Мегрегское!AA53+Куйтежское!AA53+Михайловское!AA53+Коверское!AA53+Коткозерское!AA53</f>
        <v>57</v>
      </c>
      <c r="AB53" s="188">
        <f>Олонецкое!AA53+Туксинское!AB53+'Ильинское '!AB53+Видлицкое!AB53+Мегрегское!AB53+Куйтежское!AB53+Михайловское!AB53+Коверское!AB53+Коткозерское!AB53</f>
        <v>18</v>
      </c>
      <c r="AC53" s="188">
        <f>Олонецкое!AB53+Туксинское!AC53+'Ильинское '!AC53+Видлицкое!AC53+Мегрегское!AC53+Куйтежское!AC53+Михайловское!AC53+Коверское!AC53+Коткозерское!AC53</f>
        <v>18</v>
      </c>
      <c r="AD53" s="188">
        <f>Олонецкое!AC53+Туксинское!AD53+'Ильинское '!AD53+Видлицкое!AD53+Мегрегское!AD53+Куйтежское!AD53+Михайловское!AD53+Коверское!AD53+Коткозерское!AD53</f>
        <v>21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201">
        <f>Олонецкое!K54+Туксинское!K54+'Ильинское '!K54+Видлицкое!K54+Мегрегское!K54+Куйтежское!K54+Михайловское!K54+Коверское!K54+Коткозерское!K54</f>
        <v>220</v>
      </c>
      <c r="L54" s="188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M54" s="188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N54" s="188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O54" s="300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P54" s="188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Q54" s="188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R54" s="188">
        <f>Олонецкое!Q54+Туксинское!R54+'Ильинское '!R54+Видлицкое!R54+Мегрегское!R54+Куйтежское!R54+Михайловское!R54+Коверское!R54+Коткозерское!R54</f>
        <v>21</v>
      </c>
      <c r="S54" s="300">
        <f>Олонецкое!R54+Туксинское!S54+'Ильинское '!S54+Видлицкое!S54+Мегрегское!S54+Куйтежское!S54+Михайловское!S54+Коверское!S54+Коткозерское!S54</f>
        <v>56</v>
      </c>
      <c r="T54" s="188">
        <f>Олонецкое!S54+Туксинское!T54+'Ильинское '!T54+Видлицкое!T54+Мегрегское!T54+Куйтежское!T54+Михайловское!T54+Коверское!T54+Коткозерское!T54</f>
        <v>17</v>
      </c>
      <c r="U54" s="188">
        <f>Олонецкое!T54+Туксинское!U54+'Ильинское '!U54+Видлицкое!U54+Мегрегское!U54+Куйтежское!U54+Михайловское!U54+Коверское!U54+Коткозерское!U54</f>
        <v>18</v>
      </c>
      <c r="V54" s="188">
        <f>Олонецкое!U54+Туксинское!V54+'Ильинское '!V54+Видлицкое!V54+Мегрегское!V54+Куйтежское!V54+Михайловское!V54+Коверское!V54+Коткозерское!V54</f>
        <v>21</v>
      </c>
      <c r="W54" s="300">
        <f>Олонецкое!V54+Туксинское!W54+'Ильинское '!W54+Видлицкое!W54+Мегрегское!W54+Куйтежское!W54+Михайловское!W54+Коверское!W54+Коткозерское!W54</f>
        <v>53</v>
      </c>
      <c r="X54" s="188">
        <f>Олонецкое!W54+Туксинское!X54+'Ильинское '!X54+Видлицкое!X54+Мегрегское!X54+Куйтежское!X54+Михайловское!X54+Коверское!X54+Коткозерское!X54</f>
        <v>15.5</v>
      </c>
      <c r="Y54" s="188">
        <f>Олонецкое!X54+Туксинское!Y54+'Ильинское '!Y54+Видлицкое!Y54+Мегрегское!Y54+Куйтежское!Y54+Михайловское!Y54+Коверское!Y54+Коткозерское!Y54</f>
        <v>17</v>
      </c>
      <c r="Z54" s="188">
        <f>Олонецкое!Y54+Туксинское!Z54+'Ильинское '!Z54+Видлицкое!Z54+Мегрегское!Z54+Куйтежское!Z54+Михайловское!Z54+Коверское!Z54+Коткозерское!Z54</f>
        <v>20.5</v>
      </c>
      <c r="AA54" s="300">
        <f>Олонецкое!Z54+Туксинское!AA54+'Ильинское '!AA54+Видлицкое!AA54+Мегрегское!AA54+Куйтежское!AA54+Михайловское!AA54+Коверское!AA54+Коткозерское!AA54</f>
        <v>57</v>
      </c>
      <c r="AB54" s="188">
        <f>Олонецкое!AA54+Туксинское!AB54+'Ильинское '!AB54+Видлицкое!AB54+Мегрегское!AB54+Куйтежское!AB54+Михайловское!AB54+Коверское!AB54+Коткозерское!AB54</f>
        <v>18</v>
      </c>
      <c r="AC54" s="188">
        <f>Олонецкое!AB54+Туксинское!AC54+'Ильинское '!AC54+Видлицкое!AC54+Мегрегское!AC54+Куйтежское!AC54+Михайловское!AC54+Коверское!AC54+Коткозерское!AC54</f>
        <v>18</v>
      </c>
      <c r="AD54" s="188">
        <f>Олонецкое!AC54+Туксинское!AD54+'Ильинское '!AD54+Видлицкое!AD54+Мегрегское!AD54+Куйтежское!AD54+Михайловское!AD54+Коверское!AD54+Коткозерское!AD54</f>
        <v>21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191">
        <f>Олонецкое!K55+Туксинское!K55+'Ильинское '!K55+Видлицкое!K55+Мегрегское!K55+Куйтежское!K55+Михайловское!K55+Коверское!K55+Коткозерское!K55</f>
        <v>0</v>
      </c>
      <c r="L55" s="188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M55" s="188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N55" s="188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O55" s="300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P55" s="188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Q55" s="188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R55" s="188">
        <f>Олонецкое!Q55+Туксинское!R55+'Ильинское '!R55+Видлицкое!R55+Мегрегское!R55+Куйтежское!R55+Михайловское!R55+Коверское!R55+Коткозерское!R55</f>
        <v>0</v>
      </c>
      <c r="S55" s="300">
        <f>Олонецкое!R55+Туксинское!S55+'Ильинское '!S55+Видлицкое!S55+Мегрегское!S55+Куйтежское!S55+Михайловское!S55+Коверское!S55+Коткозерское!S55</f>
        <v>0</v>
      </c>
      <c r="T55" s="188">
        <f>Олонецкое!S55+Туксинское!T55+'Ильинское '!T55+Видлицкое!T55+Мегрегское!T55+Куйтежское!T55+Михайловское!T55+Коверское!T55+Коткозерское!T55</f>
        <v>0</v>
      </c>
      <c r="U55" s="188">
        <f>Олонецкое!T55+Туксинское!U55+'Ильинское '!U55+Видлицкое!U55+Мегрегское!U55+Куйтежское!U55+Михайловское!U55+Коверское!U55+Коткозерское!U55</f>
        <v>0</v>
      </c>
      <c r="V55" s="188">
        <f>Олонецкое!U55+Туксинское!V55+'Ильинское '!V55+Видлицкое!V55+Мегрегское!V55+Куйтежское!V55+Михайловское!V55+Коверское!V55+Коткозерское!V55</f>
        <v>0</v>
      </c>
      <c r="W55" s="300">
        <f>Олонецкое!V55+Туксинское!W55+'Ильинское '!W55+Видлицкое!W55+Мегрегское!W55+Куйтежское!W55+Михайловское!W55+Коверское!W55+Коткозерское!W55</f>
        <v>0</v>
      </c>
      <c r="X55" s="188">
        <f>Олонецкое!W55+Туксинское!X55+'Ильинское '!X55+Видлицкое!X55+Мегрегское!X55+Куйтежское!X55+Михайловское!X55+Коверское!X55+Коткозерское!X55</f>
        <v>0</v>
      </c>
      <c r="Y55" s="188">
        <f>Олонецкое!X55+Туксинское!Y55+'Ильинское '!Y55+Видлицкое!Y55+Мегрегское!Y55+Куйтежское!Y55+Михайловское!Y55+Коверское!Y55+Коткозерское!Y55</f>
        <v>0</v>
      </c>
      <c r="Z55" s="188">
        <f>Олонецкое!Y55+Туксинское!Z55+'Ильинское '!Z55+Видлицкое!Z55+Мегрегское!Z55+Куйтежское!Z55+Михайловское!Z55+Коверское!Z55+Коткозерское!Z55</f>
        <v>0</v>
      </c>
      <c r="AA55" s="300">
        <f>Олонецкое!Z55+Туксинское!AA55+'Ильинское '!AA55+Видлицкое!AA55+Мегрегское!AA55+Куйтежское!AA55+Михайловское!AA55+Коверское!AA55+Коткозерское!AA55</f>
        <v>0</v>
      </c>
      <c r="AB55" s="188">
        <f>Олонецкое!AA55+Туксинское!AB55+'Ильинское '!AB55+Видлицкое!AB55+Мегрегское!AB55+Куйтежское!AB55+Михайловское!AB55+Коверское!AB55+Коткозерское!AB55</f>
        <v>0</v>
      </c>
      <c r="AC55" s="188">
        <f>Олонецкое!AB55+Туксинское!AC55+'Ильинское '!AC55+Видлицкое!AC55+Мегрегское!AC55+Куйтежское!AC55+Михайловское!AC55+Коверское!AC55+Коткозерское!AC55</f>
        <v>0</v>
      </c>
      <c r="AD55" s="188">
        <f>Олонецкое!AC55+Туксинское!AD55+'Ильинское '!AD55+Видлицкое!AD55+Мегрегское!AD55+Куйтежское!AD55+Михайловское!AD55+Коверское!AD55+Коткозерское!AD55</f>
        <v>0</v>
      </c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190">
        <f>Олонецкое!K56+Туксинское!K56+'Ильинское '!K56+Видлицкое!K56+Мегрегское!K56+Куйтежское!K56+Михайловское!K56+Коверское!K56+Коткозерское!K56</f>
        <v>0</v>
      </c>
      <c r="L56" s="188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M56" s="188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N56" s="188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O56" s="300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P56" s="188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Q56" s="188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R56" s="188">
        <f>Олонецкое!Q56+Туксинское!R56+'Ильинское '!R56+Видлицкое!R56+Мегрегское!R56+Куйтежское!R56+Михайловское!R56+Коверское!R56+Коткозерское!R56</f>
        <v>0</v>
      </c>
      <c r="S56" s="300">
        <f>Олонецкое!R56+Туксинское!S56+'Ильинское '!S56+Видлицкое!S56+Мегрегское!S56+Куйтежское!S56+Михайловское!S56+Коверское!S56+Коткозерское!S56</f>
        <v>0</v>
      </c>
      <c r="T56" s="188">
        <f>Олонецкое!S56+Туксинское!T56+'Ильинское '!T56+Видлицкое!T56+Мегрегское!T56+Куйтежское!T56+Михайловское!T56+Коверское!T56+Коткозерское!T56</f>
        <v>0</v>
      </c>
      <c r="U56" s="188">
        <f>Олонецкое!T56+Туксинское!U56+'Ильинское '!U56+Видлицкое!U56+Мегрегское!U56+Куйтежское!U56+Михайловское!U56+Коверское!U56+Коткозерское!U56</f>
        <v>0</v>
      </c>
      <c r="V56" s="188">
        <f>Олонецкое!U56+Туксинское!V56+'Ильинское '!V56+Видлицкое!V56+Мегрегское!V56+Куйтежское!V56+Михайловское!V56+Коверское!V56+Коткозерское!V56</f>
        <v>0</v>
      </c>
      <c r="W56" s="300">
        <f>Олонецкое!V56+Туксинское!W56+'Ильинское '!W56+Видлицкое!W56+Мегрегское!W56+Куйтежское!W56+Михайловское!W56+Коверское!W56+Коткозерское!W56</f>
        <v>0</v>
      </c>
      <c r="X56" s="188">
        <f>Олонецкое!W56+Туксинское!X56+'Ильинское '!X56+Видлицкое!X56+Мегрегское!X56+Куйтежское!X56+Михайловское!X56+Коверское!X56+Коткозерское!X56</f>
        <v>0</v>
      </c>
      <c r="Y56" s="188">
        <f>Олонецкое!X56+Туксинское!Y56+'Ильинское '!Y56+Видлицкое!Y56+Мегрегское!Y56+Куйтежское!Y56+Михайловское!Y56+Коверское!Y56+Коткозерское!Y56</f>
        <v>0</v>
      </c>
      <c r="Z56" s="188">
        <f>Олонецкое!Y56+Туксинское!Z56+'Ильинское '!Z56+Видлицкое!Z56+Мегрегское!Z56+Куйтежское!Z56+Михайловское!Z56+Коверское!Z56+Коткозерское!Z56</f>
        <v>0</v>
      </c>
      <c r="AA56" s="300">
        <f>Олонецкое!Z56+Туксинское!AA56+'Ильинское '!AA56+Видлицкое!AA56+Мегрегское!AA56+Куйтежское!AA56+Михайловское!AA56+Коверское!AA56+Коткозерское!AA56</f>
        <v>0</v>
      </c>
      <c r="AB56" s="188">
        <f>Олонецкое!AA56+Туксинское!AB56+'Ильинское '!AB56+Видлицкое!AB56+Мегрегское!AB56+Куйтежское!AB56+Михайловское!AB56+Коверское!AB56+Коткозерское!AB56</f>
        <v>0</v>
      </c>
      <c r="AC56" s="188">
        <f>Олонецкое!AB56+Туксинское!AC56+'Ильинское '!AC56+Видлицкое!AC56+Мегрегское!AC56+Куйтежское!AC56+Михайловское!AC56+Коверское!AC56+Коткозерское!AC56</f>
        <v>0</v>
      </c>
      <c r="AD56" s="188">
        <f>Олонецкое!AC56+Туксинское!AD56+'Ильинское '!AD56+Видлицкое!AD56+Мегрегское!AD56+Куйтежское!AD56+Михайловское!AD56+Коверское!AD56+Коткозерское!AD56</f>
        <v>0</v>
      </c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190">
        <f>Олонецкое!K57+Туксинское!K57+'Ильинское '!K57+Видлицкое!K57+Мегрегское!K57+Куйтежское!K57+Михайловское!K57+Коверское!K57+Коткозерское!K57</f>
        <v>0</v>
      </c>
      <c r="L57" s="188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M57" s="188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N57" s="188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O57" s="300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P57" s="188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Q57" s="188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R57" s="188">
        <f>Олонецкое!Q57+Туксинское!R57+'Ильинское '!R57+Видлицкое!R57+Мегрегское!R57+Куйтежское!R57+Михайловское!R57+Коверское!R57+Коткозерское!R57</f>
        <v>0</v>
      </c>
      <c r="S57" s="300">
        <f>Олонецкое!R57+Туксинское!S57+'Ильинское '!S57+Видлицкое!S57+Мегрегское!S57+Куйтежское!S57+Михайловское!S57+Коверское!S57+Коткозерское!S57</f>
        <v>0</v>
      </c>
      <c r="T57" s="188">
        <f>Олонецкое!S57+Туксинское!T57+'Ильинское '!T57+Видлицкое!T57+Мегрегское!T57+Куйтежское!T57+Михайловское!T57+Коверское!T57+Коткозерское!T57</f>
        <v>0</v>
      </c>
      <c r="U57" s="188">
        <f>Олонецкое!T57+Туксинское!U57+'Ильинское '!U57+Видлицкое!U57+Мегрегское!U57+Куйтежское!U57+Михайловское!U57+Коверское!U57+Коткозерское!U57</f>
        <v>0</v>
      </c>
      <c r="V57" s="188">
        <f>Олонецкое!U57+Туксинское!V57+'Ильинское '!V57+Видлицкое!V57+Мегрегское!V57+Куйтежское!V57+Михайловское!V57+Коверское!V57+Коткозерское!V57</f>
        <v>0</v>
      </c>
      <c r="W57" s="300">
        <f>Олонецкое!V57+Туксинское!W57+'Ильинское '!W57+Видлицкое!W57+Мегрегское!W57+Куйтежское!W57+Михайловское!W57+Коверское!W57+Коткозерское!W57</f>
        <v>0</v>
      </c>
      <c r="X57" s="188">
        <f>Олонецкое!W57+Туксинское!X57+'Ильинское '!X57+Видлицкое!X57+Мегрегское!X57+Куйтежское!X57+Михайловское!X57+Коверское!X57+Коткозерское!X57</f>
        <v>0</v>
      </c>
      <c r="Y57" s="188">
        <f>Олонецкое!X57+Туксинское!Y57+'Ильинское '!Y57+Видлицкое!Y57+Мегрегское!Y57+Куйтежское!Y57+Михайловское!Y57+Коверское!Y57+Коткозерское!Y57</f>
        <v>0</v>
      </c>
      <c r="Z57" s="188">
        <f>Олонецкое!Y57+Туксинское!Z57+'Ильинское '!Z57+Видлицкое!Z57+Мегрегское!Z57+Куйтежское!Z57+Михайловское!Z57+Коверское!Z57+Коткозерское!Z57</f>
        <v>0</v>
      </c>
      <c r="AA57" s="300">
        <f>Олонецкое!Z57+Туксинское!AA57+'Ильинское '!AA57+Видлицкое!AA57+Мегрегское!AA57+Куйтежское!AA57+Михайловское!AA57+Коверское!AA57+Коткозерское!AA57</f>
        <v>0</v>
      </c>
      <c r="AB57" s="188">
        <f>Олонецкое!AA57+Туксинское!AB57+'Ильинское '!AB57+Видлицкое!AB57+Мегрегское!AB57+Куйтежское!AB57+Михайловское!AB57+Коверское!AB57+Коткозерское!AB57</f>
        <v>0</v>
      </c>
      <c r="AC57" s="188">
        <f>Олонецкое!AB57+Туксинское!AC57+'Ильинское '!AC57+Видлицкое!AC57+Мегрегское!AC57+Куйтежское!AC57+Михайловское!AC57+Коверское!AC57+Коткозерское!AC57</f>
        <v>0</v>
      </c>
      <c r="AD57" s="188">
        <f>Олонецкое!AC57+Туксинское!AD57+'Ильинское '!AD57+Видлицкое!AD57+Мегрегское!AD57+Куйтежское!AD57+Михайловское!AD57+Коверское!AD57+Коткозерское!AD57</f>
        <v>0</v>
      </c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190">
        <f>Олонецкое!K58+Туксинское!K58+'Ильинское '!K58+Видлицкое!K58+Мегрегское!K58+Куйтежское!K58+Михайловское!K58+Коверское!K58+Коткозерское!K58</f>
        <v>0</v>
      </c>
      <c r="L58" s="188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M58" s="188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N58" s="188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O58" s="300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P58" s="188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Q58" s="188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R58" s="188">
        <f>Олонецкое!Q58+Туксинское!R58+'Ильинское '!R58+Видлицкое!R58+Мегрегское!R58+Куйтежское!R58+Михайловское!R58+Коверское!R58+Коткозерское!R58</f>
        <v>0</v>
      </c>
      <c r="S58" s="300">
        <f>Олонецкое!R58+Туксинское!S58+'Ильинское '!S58+Видлицкое!S58+Мегрегское!S58+Куйтежское!S58+Михайловское!S58+Коверское!S58+Коткозерское!S58</f>
        <v>0</v>
      </c>
      <c r="T58" s="188">
        <f>Олонецкое!S58+Туксинское!T58+'Ильинское '!T58+Видлицкое!T58+Мегрегское!T58+Куйтежское!T58+Михайловское!T58+Коверское!T58+Коткозерское!T58</f>
        <v>0</v>
      </c>
      <c r="U58" s="188">
        <f>Олонецкое!T58+Туксинское!U58+'Ильинское '!U58+Видлицкое!U58+Мегрегское!U58+Куйтежское!U58+Михайловское!U58+Коверское!U58+Коткозерское!U58</f>
        <v>0</v>
      </c>
      <c r="V58" s="188">
        <f>Олонецкое!U58+Туксинское!V58+'Ильинское '!V58+Видлицкое!V58+Мегрегское!V58+Куйтежское!V58+Михайловское!V58+Коверское!V58+Коткозерское!V58</f>
        <v>0</v>
      </c>
      <c r="W58" s="300">
        <f>Олонецкое!V58+Туксинское!W58+'Ильинское '!W58+Видлицкое!W58+Мегрегское!W58+Куйтежское!W58+Михайловское!W58+Коверское!W58+Коткозерское!W58</f>
        <v>0</v>
      </c>
      <c r="X58" s="188">
        <f>Олонецкое!W58+Туксинское!X58+'Ильинское '!X58+Видлицкое!X58+Мегрегское!X58+Куйтежское!X58+Михайловское!X58+Коверское!X58+Коткозерское!X58</f>
        <v>0</v>
      </c>
      <c r="Y58" s="188">
        <f>Олонецкое!X58+Туксинское!Y58+'Ильинское '!Y58+Видлицкое!Y58+Мегрегское!Y58+Куйтежское!Y58+Михайловское!Y58+Коверское!Y58+Коткозерское!Y58</f>
        <v>0</v>
      </c>
      <c r="Z58" s="188">
        <f>Олонецкое!Y58+Туксинское!Z58+'Ильинское '!Z58+Видлицкое!Z58+Мегрегское!Z58+Куйтежское!Z58+Михайловское!Z58+Коверское!Z58+Коткозерское!Z58</f>
        <v>0</v>
      </c>
      <c r="AA58" s="300">
        <f>Олонецкое!Z58+Туксинское!AA58+'Ильинское '!AA58+Видлицкое!AA58+Мегрегское!AA58+Куйтежское!AA58+Михайловское!AA58+Коверское!AA58+Коткозерское!AA58</f>
        <v>0</v>
      </c>
      <c r="AB58" s="188">
        <f>Олонецкое!AA58+Туксинское!AB58+'Ильинское '!AB58+Видлицкое!AB58+Мегрегское!AB58+Куйтежское!AB58+Михайловское!AB58+Коверское!AB58+Коткозерское!AB58</f>
        <v>0</v>
      </c>
      <c r="AC58" s="188">
        <f>Олонецкое!AB58+Туксинское!AC58+'Ильинское '!AC58+Видлицкое!AC58+Мегрегское!AC58+Куйтежское!AC58+Михайловское!AC58+Коверское!AC58+Коткозерское!AC58</f>
        <v>0</v>
      </c>
      <c r="AD58" s="188">
        <f>Олонецкое!AC58+Туксинское!AD58+'Ильинское '!AD58+Видлицкое!AD58+Мегрегское!AD58+Куйтежское!AD58+Михайловское!AD58+Коверское!AD58+Коткозерское!AD58</f>
        <v>0</v>
      </c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90">
        <f>Олонецкое!K59+Туксинское!K59+'Ильинское '!K59+Видлицкое!K59+Мегрегское!K59+Куйтежское!K59+Михайловское!K59+Коверское!K59+Коткозерское!K59</f>
        <v>0</v>
      </c>
      <c r="L59" s="188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M59" s="188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N59" s="188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O59" s="300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P59" s="188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Q59" s="188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R59" s="188">
        <f>Олонецкое!Q59+Туксинское!R59+'Ильинское '!R59+Видлицкое!R59+Мегрегское!R59+Куйтежское!R59+Михайловское!R59+Коверское!R59+Коткозерское!R59</f>
        <v>0</v>
      </c>
      <c r="S59" s="300">
        <f>Олонецкое!R59+Туксинское!S59+'Ильинское '!S59+Видлицкое!S59+Мегрегское!S59+Куйтежское!S59+Михайловское!S59+Коверское!S59+Коткозерское!S59</f>
        <v>0</v>
      </c>
      <c r="T59" s="188">
        <f>Олонецкое!S59+Туксинское!T59+'Ильинское '!T59+Видлицкое!T59+Мегрегское!T59+Куйтежское!T59+Михайловское!T59+Коверское!T59+Коткозерское!T59</f>
        <v>0</v>
      </c>
      <c r="U59" s="188">
        <f>Олонецкое!T59+Туксинское!U59+'Ильинское '!U59+Видлицкое!U59+Мегрегское!U59+Куйтежское!U59+Михайловское!U59+Коверское!U59+Коткозерское!U59</f>
        <v>0</v>
      </c>
      <c r="V59" s="188">
        <f>Олонецкое!U59+Туксинское!V59+'Ильинское '!V59+Видлицкое!V59+Мегрегское!V59+Куйтежское!V59+Михайловское!V59+Коверское!V59+Коткозерское!V59</f>
        <v>0</v>
      </c>
      <c r="W59" s="300">
        <f>Олонецкое!V59+Туксинское!W59+'Ильинское '!W59+Видлицкое!W59+Мегрегское!W59+Куйтежское!W59+Михайловское!W59+Коверское!W59+Коткозерское!W59</f>
        <v>0</v>
      </c>
      <c r="X59" s="188">
        <f>Олонецкое!W59+Туксинское!X59+'Ильинское '!X59+Видлицкое!X59+Мегрегское!X59+Куйтежское!X59+Михайловское!X59+Коверское!X59+Коткозерское!X59</f>
        <v>0</v>
      </c>
      <c r="Y59" s="188">
        <f>Олонецкое!X59+Туксинское!Y59+'Ильинское '!Y59+Видлицкое!Y59+Мегрегское!Y59+Куйтежское!Y59+Михайловское!Y59+Коверское!Y59+Коткозерское!Y59</f>
        <v>0</v>
      </c>
      <c r="Z59" s="188">
        <f>Олонецкое!Y59+Туксинское!Z59+'Ильинское '!Z59+Видлицкое!Z59+Мегрегское!Z59+Куйтежское!Z59+Михайловское!Z59+Коверское!Z59+Коткозерское!Z59</f>
        <v>0</v>
      </c>
      <c r="AA59" s="300">
        <f>Олонецкое!Z59+Туксинское!AA59+'Ильинское '!AA59+Видлицкое!AA59+Мегрегское!AA59+Куйтежское!AA59+Михайловское!AA59+Коверское!AA59+Коткозерское!AA59</f>
        <v>0</v>
      </c>
      <c r="AB59" s="188">
        <f>Олонецкое!AA59+Туксинское!AB59+'Ильинское '!AB59+Видлицкое!AB59+Мегрегское!AB59+Куйтежское!AB59+Михайловское!AB59+Коверское!AB59+Коткозерское!AB59</f>
        <v>0</v>
      </c>
      <c r="AC59" s="188">
        <f>Олонецкое!AB59+Туксинское!AC59+'Ильинское '!AC59+Видлицкое!AC59+Мегрегское!AC59+Куйтежское!AC59+Михайловское!AC59+Коверское!AC59+Коткозерское!AC59</f>
        <v>0</v>
      </c>
      <c r="AD59" s="188">
        <f>Олонецкое!AC59+Туксинское!AD59+'Ильинское '!AD59+Видлицкое!AD59+Мегрегское!AD59+Куйтежское!AD59+Михайловское!AD59+Коверское!AD59+Коткозерское!AD59</f>
        <v>0</v>
      </c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192">
        <f>Олонецкое!K60+Туксинское!K60+'Ильинское '!K60+Видлицкое!K60+Мегрегское!K60+Куйтежское!K60+Михайловское!K60+Коверское!K60+Коткозерское!K60</f>
        <v>0</v>
      </c>
      <c r="L60" s="188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M60" s="188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N60" s="188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O60" s="300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P60" s="188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Q60" s="188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R60" s="188">
        <f>Олонецкое!Q60+Туксинское!R60+'Ильинское '!R60+Видлицкое!R60+Мегрегское!R60+Куйтежское!R60+Михайловское!R60+Коверское!R60+Коткозерское!R60</f>
        <v>0</v>
      </c>
      <c r="S60" s="300">
        <f>Олонецкое!R60+Туксинское!S60+'Ильинское '!S60+Видлицкое!S60+Мегрегское!S60+Куйтежское!S60+Михайловское!S60+Коверское!S60+Коткозерское!S60</f>
        <v>0</v>
      </c>
      <c r="T60" s="188">
        <f>Олонецкое!S60+Туксинское!T60+'Ильинское '!T60+Видлицкое!T60+Мегрегское!T60+Куйтежское!T60+Михайловское!T60+Коверское!T60+Коткозерское!T60</f>
        <v>0</v>
      </c>
      <c r="U60" s="188">
        <f>Олонецкое!T60+Туксинское!U60+'Ильинское '!U60+Видлицкое!U60+Мегрегское!U60+Куйтежское!U60+Михайловское!U60+Коверское!U60+Коткозерское!U60</f>
        <v>0</v>
      </c>
      <c r="V60" s="188">
        <f>Олонецкое!U60+Туксинское!V60+'Ильинское '!V60+Видлицкое!V60+Мегрегское!V60+Куйтежское!V60+Михайловское!V60+Коверское!V60+Коткозерское!V60</f>
        <v>0</v>
      </c>
      <c r="W60" s="300">
        <f>Олонецкое!V60+Туксинское!W60+'Ильинское '!W60+Видлицкое!W60+Мегрегское!W60+Куйтежское!W60+Михайловское!W60+Коверское!W60+Коткозерское!W60</f>
        <v>0</v>
      </c>
      <c r="X60" s="188">
        <f>Олонецкое!W60+Туксинское!X60+'Ильинское '!X60+Видлицкое!X60+Мегрегское!X60+Куйтежское!X60+Михайловское!X60+Коверское!X60+Коткозерское!X60</f>
        <v>0</v>
      </c>
      <c r="Y60" s="188">
        <f>Олонецкое!X60+Туксинское!Y60+'Ильинское '!Y60+Видлицкое!Y60+Мегрегское!Y60+Куйтежское!Y60+Михайловское!Y60+Коверское!Y60+Коткозерское!Y60</f>
        <v>0</v>
      </c>
      <c r="Z60" s="188">
        <f>Олонецкое!Y60+Туксинское!Z60+'Ильинское '!Z60+Видлицкое!Z60+Мегрегское!Z60+Куйтежское!Z60+Михайловское!Z60+Коверское!Z60+Коткозерское!Z60</f>
        <v>0</v>
      </c>
      <c r="AA60" s="300">
        <f>Олонецкое!Z60+Туксинское!AA60+'Ильинское '!AA60+Видлицкое!AA60+Мегрегское!AA60+Куйтежское!AA60+Михайловское!AA60+Коверское!AA60+Коткозерское!AA60</f>
        <v>0</v>
      </c>
      <c r="AB60" s="188">
        <f>Олонецкое!AA60+Туксинское!AB60+'Ильинское '!AB60+Видлицкое!AB60+Мегрегское!AB60+Куйтежское!AB60+Михайловское!AB60+Коверское!AB60+Коткозерское!AB60</f>
        <v>0</v>
      </c>
      <c r="AC60" s="188">
        <f>Олонецкое!AB60+Туксинское!AC60+'Ильинское '!AC60+Видлицкое!AC60+Мегрегское!AC60+Куйтежское!AC60+Михайловское!AC60+Коверское!AC60+Коткозерское!AC60</f>
        <v>0</v>
      </c>
      <c r="AD60" s="188">
        <f>Олонецкое!AC60+Туксинское!AD60+'Ильинское '!AD60+Видлицкое!AD60+Мегрегское!AD60+Куйтежское!AD60+Михайловское!AD60+Коверское!AD60+Коткозерское!AD60</f>
        <v>0</v>
      </c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202">
        <f>Олонецкое!K61+Туксинское!K61+'Ильинское '!K61+Видлицкое!K61+Мегрегское!K61+Куйтежское!K61+Михайловское!K61+Коверское!K61+Коткозерское!K61</f>
        <v>0</v>
      </c>
      <c r="L61" s="188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M61" s="188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N61" s="188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O61" s="300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P61" s="188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Q61" s="188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R61" s="188">
        <f>Олонецкое!Q61+Туксинское!R61+'Ильинское '!R61+Видлицкое!R61+Мегрегское!R61+Куйтежское!R61+Михайловское!R61+Коверское!R61+Коткозерское!R61</f>
        <v>0</v>
      </c>
      <c r="S61" s="300">
        <f>Олонецкое!R61+Туксинское!S61+'Ильинское '!S61+Видлицкое!S61+Мегрегское!S61+Куйтежское!S61+Михайловское!S61+Коверское!S61+Коткозерское!S61</f>
        <v>0</v>
      </c>
      <c r="T61" s="188">
        <f>Олонецкое!S61+Туксинское!T61+'Ильинское '!T61+Видлицкое!T61+Мегрегское!T61+Куйтежское!T61+Михайловское!T61+Коверское!T61+Коткозерское!T61</f>
        <v>0</v>
      </c>
      <c r="U61" s="188">
        <f>Олонецкое!T61+Туксинское!U61+'Ильинское '!U61+Видлицкое!U61+Мегрегское!U61+Куйтежское!U61+Михайловское!U61+Коверское!U61+Коткозерское!U61</f>
        <v>0</v>
      </c>
      <c r="V61" s="188">
        <f>Олонецкое!U61+Туксинское!V61+'Ильинское '!V61+Видлицкое!V61+Мегрегское!V61+Куйтежское!V61+Михайловское!V61+Коверское!V61+Коткозерское!V61</f>
        <v>0</v>
      </c>
      <c r="W61" s="300">
        <f>Олонецкое!V61+Туксинское!W61+'Ильинское '!W61+Видлицкое!W61+Мегрегское!W61+Куйтежское!W61+Михайловское!W61+Коверское!W61+Коткозерское!W61</f>
        <v>0</v>
      </c>
      <c r="X61" s="188">
        <f>Олонецкое!W61+Туксинское!X61+'Ильинское '!X61+Видлицкое!X61+Мегрегское!X61+Куйтежское!X61+Михайловское!X61+Коверское!X61+Коткозерское!X61</f>
        <v>0</v>
      </c>
      <c r="Y61" s="188">
        <f>Олонецкое!X61+Туксинское!Y61+'Ильинское '!Y61+Видлицкое!Y61+Мегрегское!Y61+Куйтежское!Y61+Михайловское!Y61+Коверское!Y61+Коткозерское!Y61</f>
        <v>0</v>
      </c>
      <c r="Z61" s="188">
        <f>Олонецкое!Y61+Туксинское!Z61+'Ильинское '!Z61+Видлицкое!Z61+Мегрегское!Z61+Куйтежское!Z61+Михайловское!Z61+Коверское!Z61+Коткозерское!Z61</f>
        <v>0</v>
      </c>
      <c r="AA61" s="300">
        <f>Олонецкое!Z61+Туксинское!AA61+'Ильинское '!AA61+Видлицкое!AA61+Мегрегское!AA61+Куйтежское!AA61+Михайловское!AA61+Коверское!AA61+Коткозерское!AA61</f>
        <v>0</v>
      </c>
      <c r="AB61" s="188">
        <f>Олонецкое!AA61+Туксинское!AB61+'Ильинское '!AB61+Видлицкое!AB61+Мегрегское!AB61+Куйтежское!AB61+Михайловское!AB61+Коверское!AB61+Коткозерское!AB61</f>
        <v>0</v>
      </c>
      <c r="AC61" s="188">
        <f>Олонецкое!AB61+Туксинское!AC61+'Ильинское '!AC61+Видлицкое!AC61+Мегрегское!AC61+Куйтежское!AC61+Михайловское!AC61+Коверское!AC61+Коткозерское!AC61</f>
        <v>0</v>
      </c>
      <c r="AD61" s="188">
        <f>Олонецкое!AC61+Туксинское!AD61+'Ильинское '!AD61+Видлицкое!AD61+Мегрегское!AD61+Куйтежское!AD61+Михайловское!AD61+Коверское!AD61+Коткозерское!AD61</f>
        <v>0</v>
      </c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202">
        <f>Олонецкое!K62+Туксинское!K62+'Ильинское '!K62+Видлицкое!K62+Мегрегское!K62+Куйтежское!K62+Михайловское!K62+Коверское!K62+Коткозерское!K62</f>
        <v>0</v>
      </c>
      <c r="L62" s="188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M62" s="188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N62" s="188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O62" s="300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P62" s="188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Q62" s="188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R62" s="188">
        <f>Олонецкое!Q62+Туксинское!R62+'Ильинское '!R62+Видлицкое!R62+Мегрегское!R62+Куйтежское!R62+Михайловское!R62+Коверское!R62+Коткозерское!R62</f>
        <v>0</v>
      </c>
      <c r="S62" s="300">
        <f>Олонецкое!R62+Туксинское!S62+'Ильинское '!S62+Видлицкое!S62+Мегрегское!S62+Куйтежское!S62+Михайловское!S62+Коверское!S62+Коткозерское!S62</f>
        <v>0</v>
      </c>
      <c r="T62" s="188">
        <f>Олонецкое!S62+Туксинское!T62+'Ильинское '!T62+Видлицкое!T62+Мегрегское!T62+Куйтежское!T62+Михайловское!T62+Коверское!T62+Коткозерское!T62</f>
        <v>0</v>
      </c>
      <c r="U62" s="188">
        <f>Олонецкое!T62+Туксинское!U62+'Ильинское '!U62+Видлицкое!U62+Мегрегское!U62+Куйтежское!U62+Михайловское!U62+Коверское!U62+Коткозерское!U62</f>
        <v>0</v>
      </c>
      <c r="V62" s="188">
        <f>Олонецкое!U62+Туксинское!V62+'Ильинское '!V62+Видлицкое!V62+Мегрегское!V62+Куйтежское!V62+Михайловское!V62+Коверское!V62+Коткозерское!V62</f>
        <v>0</v>
      </c>
      <c r="W62" s="300">
        <f>Олонецкое!V62+Туксинское!W62+'Ильинское '!W62+Видлицкое!W62+Мегрегское!W62+Куйтежское!W62+Михайловское!W62+Коверское!W62+Коткозерское!W62</f>
        <v>0</v>
      </c>
      <c r="X62" s="188">
        <f>Олонецкое!W62+Туксинское!X62+'Ильинское '!X62+Видлицкое!X62+Мегрегское!X62+Куйтежское!X62+Михайловское!X62+Коверское!X62+Коткозерское!X62</f>
        <v>0</v>
      </c>
      <c r="Y62" s="188">
        <f>Олонецкое!X62+Туксинское!Y62+'Ильинское '!Y62+Видлицкое!Y62+Мегрегское!Y62+Куйтежское!Y62+Михайловское!Y62+Коверское!Y62+Коткозерское!Y62</f>
        <v>0</v>
      </c>
      <c r="Z62" s="188">
        <f>Олонецкое!Y62+Туксинское!Z62+'Ильинское '!Z62+Видлицкое!Z62+Мегрегское!Z62+Куйтежское!Z62+Михайловское!Z62+Коверское!Z62+Коткозерское!Z62</f>
        <v>0</v>
      </c>
      <c r="AA62" s="300">
        <f>Олонецкое!Z62+Туксинское!AA62+'Ильинское '!AA62+Видлицкое!AA62+Мегрегское!AA62+Куйтежское!AA62+Михайловское!AA62+Коверское!AA62+Коткозерское!AA62</f>
        <v>0</v>
      </c>
      <c r="AB62" s="188">
        <f>Олонецкое!AA62+Туксинское!AB62+'Ильинское '!AB62+Видлицкое!AB62+Мегрегское!AB62+Куйтежское!AB62+Михайловское!AB62+Коверское!AB62+Коткозерское!AB62</f>
        <v>0</v>
      </c>
      <c r="AC62" s="188">
        <f>Олонецкое!AB62+Туксинское!AC62+'Ильинское '!AC62+Видлицкое!AC62+Мегрегское!AC62+Куйтежское!AC62+Михайловское!AC62+Коверское!AC62+Коткозерское!AC62</f>
        <v>0</v>
      </c>
      <c r="AD62" s="188">
        <f>Олонецкое!AC62+Туксинское!AD62+'Ильинское '!AD62+Видлицкое!AD62+Мегрегское!AD62+Куйтежское!AD62+Михайловское!AD62+Коверское!AD62+Коткозерское!AD62</f>
        <v>0</v>
      </c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195">
        <f>Олонецкое!K63+Туксинское!K63+'Ильинское '!K63+Видлицкое!K63+Мегрегское!K63+Куйтежское!K63+Михайловское!K63+Коверское!K63+Коткозерское!K63</f>
        <v>0</v>
      </c>
      <c r="L63" s="188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M63" s="188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N63" s="188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O63" s="300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P63" s="188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Q63" s="188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R63" s="188">
        <f>Олонецкое!Q63+Туксинское!R63+'Ильинское '!R63+Видлицкое!R63+Мегрегское!R63+Куйтежское!R63+Михайловское!R63+Коверское!R63+Коткозерское!R63</f>
        <v>0</v>
      </c>
      <c r="S63" s="300">
        <f>Олонецкое!R63+Туксинское!S63+'Ильинское '!S63+Видлицкое!S63+Мегрегское!S63+Куйтежское!S63+Михайловское!S63+Коверское!S63+Коткозерское!S63</f>
        <v>0</v>
      </c>
      <c r="T63" s="188">
        <f>Олонецкое!S63+Туксинское!T63+'Ильинское '!T63+Видлицкое!T63+Мегрегское!T63+Куйтежское!T63+Михайловское!T63+Коверское!T63+Коткозерское!T63</f>
        <v>0</v>
      </c>
      <c r="U63" s="188">
        <f>Олонецкое!T63+Туксинское!U63+'Ильинское '!U63+Видлицкое!U63+Мегрегское!U63+Куйтежское!U63+Михайловское!U63+Коверское!U63+Коткозерское!U63</f>
        <v>0</v>
      </c>
      <c r="V63" s="188">
        <f>Олонецкое!U63+Туксинское!V63+'Ильинское '!V63+Видлицкое!V63+Мегрегское!V63+Куйтежское!V63+Михайловское!V63+Коверское!V63+Коткозерское!V63</f>
        <v>0</v>
      </c>
      <c r="W63" s="300">
        <f>Олонецкое!V63+Туксинское!W63+'Ильинское '!W63+Видлицкое!W63+Мегрегское!W63+Куйтежское!W63+Михайловское!W63+Коверское!W63+Коткозерское!W63</f>
        <v>0</v>
      </c>
      <c r="X63" s="188">
        <f>Олонецкое!W63+Туксинское!X63+'Ильинское '!X63+Видлицкое!X63+Мегрегское!X63+Куйтежское!X63+Михайловское!X63+Коверское!X63+Коткозерское!X63</f>
        <v>0</v>
      </c>
      <c r="Y63" s="188">
        <f>Олонецкое!X63+Туксинское!Y63+'Ильинское '!Y63+Видлицкое!Y63+Мегрегское!Y63+Куйтежское!Y63+Михайловское!Y63+Коверское!Y63+Коткозерское!Y63</f>
        <v>0</v>
      </c>
      <c r="Z63" s="188">
        <f>Олонецкое!Y63+Туксинское!Z63+'Ильинское '!Z63+Видлицкое!Z63+Мегрегское!Z63+Куйтежское!Z63+Михайловское!Z63+Коверское!Z63+Коткозерское!Z63</f>
        <v>0</v>
      </c>
      <c r="AA63" s="300">
        <f>Олонецкое!Z63+Туксинское!AA63+'Ильинское '!AA63+Видлицкое!AA63+Мегрегское!AA63+Куйтежское!AA63+Михайловское!AA63+Коверское!AA63+Коткозерское!AA63</f>
        <v>0</v>
      </c>
      <c r="AB63" s="188">
        <f>Олонецкое!AA63+Туксинское!AB63+'Ильинское '!AB63+Видлицкое!AB63+Мегрегское!AB63+Куйтежское!AB63+Михайловское!AB63+Коверское!AB63+Коткозерское!AB63</f>
        <v>0</v>
      </c>
      <c r="AC63" s="188">
        <f>Олонецкое!AB63+Туксинское!AC63+'Ильинское '!AC63+Видлицкое!AC63+Мегрегское!AC63+Куйтежское!AC63+Михайловское!AC63+Коверское!AC63+Коткозерское!AC63</f>
        <v>0</v>
      </c>
      <c r="AD63" s="188">
        <f>Олонецкое!AC63+Туксинское!AD63+'Ильинское '!AD63+Видлицкое!AD63+Мегрегское!AD63+Куйтежское!AD63+Михайловское!AD63+Коверское!AD63+Коткозерское!AD63</f>
        <v>0</v>
      </c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93">
        <f>Олонецкое!K64+Туксинское!K64+'Ильинское '!K64+Видлицкое!K64+Мегрегское!K64+Куйтежское!K64+Михайловское!K64+Коверское!K64+Коткозерское!K64</f>
        <v>0</v>
      </c>
      <c r="L64" s="188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M64" s="188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N64" s="188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O64" s="300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P64" s="188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Q64" s="188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R64" s="188">
        <f>Олонецкое!Q64+Туксинское!R64+'Ильинское '!R64+Видлицкое!R64+Мегрегское!R64+Куйтежское!R64+Михайловское!R64+Коверское!R64+Коткозерское!R64</f>
        <v>0</v>
      </c>
      <c r="S64" s="300">
        <f>Олонецкое!R64+Туксинское!S64+'Ильинское '!S64+Видлицкое!S64+Мегрегское!S64+Куйтежское!S64+Михайловское!S64+Коверское!S64+Коткозерское!S64</f>
        <v>0</v>
      </c>
      <c r="T64" s="188">
        <f>Олонецкое!S64+Туксинское!T64+'Ильинское '!T64+Видлицкое!T64+Мегрегское!T64+Куйтежское!T64+Михайловское!T64+Коверское!T64+Коткозерское!T64</f>
        <v>0</v>
      </c>
      <c r="U64" s="188">
        <f>Олонецкое!T64+Туксинское!U64+'Ильинское '!U64+Видлицкое!U64+Мегрегское!U64+Куйтежское!U64+Михайловское!U64+Коверское!U64+Коткозерское!U64</f>
        <v>0</v>
      </c>
      <c r="V64" s="188">
        <f>Олонецкое!U64+Туксинское!V64+'Ильинское '!V64+Видлицкое!V64+Мегрегское!V64+Куйтежское!V64+Михайловское!V64+Коверское!V64+Коткозерское!V64</f>
        <v>0</v>
      </c>
      <c r="W64" s="300">
        <f>Олонецкое!V64+Туксинское!W64+'Ильинское '!W64+Видлицкое!W64+Мегрегское!W64+Куйтежское!W64+Михайловское!W64+Коверское!W64+Коткозерское!W64</f>
        <v>0</v>
      </c>
      <c r="X64" s="188">
        <f>Олонецкое!W64+Туксинское!X64+'Ильинское '!X64+Видлицкое!X64+Мегрегское!X64+Куйтежское!X64+Михайловское!X64+Коверское!X64+Коткозерское!X64</f>
        <v>0</v>
      </c>
      <c r="Y64" s="188">
        <f>Олонецкое!X64+Туксинское!Y64+'Ильинское '!Y64+Видлицкое!Y64+Мегрегское!Y64+Куйтежское!Y64+Михайловское!Y64+Коверское!Y64+Коткозерское!Y64</f>
        <v>0</v>
      </c>
      <c r="Z64" s="188">
        <f>Олонецкое!Y64+Туксинское!Z64+'Ильинское '!Z64+Видлицкое!Z64+Мегрегское!Z64+Куйтежское!Z64+Михайловское!Z64+Коверское!Z64+Коткозерское!Z64</f>
        <v>0</v>
      </c>
      <c r="AA64" s="300">
        <f>Олонецкое!Z64+Туксинское!AA64+'Ильинское '!AA64+Видлицкое!AA64+Мегрегское!AA64+Куйтежское!AA64+Михайловское!AA64+Коверское!AA64+Коткозерское!AA64</f>
        <v>0</v>
      </c>
      <c r="AB64" s="188">
        <f>Олонецкое!AA64+Туксинское!AB64+'Ильинское '!AB64+Видлицкое!AB64+Мегрегское!AB64+Куйтежское!AB64+Михайловское!AB64+Коверское!AB64+Коткозерское!AB64</f>
        <v>0</v>
      </c>
      <c r="AC64" s="188">
        <f>Олонецкое!AB64+Туксинское!AC64+'Ильинское '!AC64+Видлицкое!AC64+Мегрегское!AC64+Куйтежское!AC64+Михайловское!AC64+Коверское!AC64+Коткозерское!AC64</f>
        <v>0</v>
      </c>
      <c r="AD64" s="188">
        <f>Олонецкое!AC64+Туксинское!AD64+'Ильинское '!AD64+Видлицкое!AD64+Мегрегское!AD64+Куйтежское!AD64+Михайловское!AD64+Коверское!AD64+Коткозерское!AD64</f>
        <v>0</v>
      </c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202">
        <f>Олонецкое!K65+Туксинское!K65+'Ильинское '!K65+Видлицкое!K65+Мегрегское!K65+Куйтежское!K65+Михайловское!K65+Коверское!K65+Коткозерское!K65</f>
        <v>0</v>
      </c>
      <c r="L65" s="188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M65" s="188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N65" s="188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O65" s="300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P65" s="188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Q65" s="188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R65" s="188">
        <f>Олонецкое!Q65+Туксинское!R65+'Ильинское '!R65+Видлицкое!R65+Мегрегское!R65+Куйтежское!R65+Михайловское!R65+Коверское!R65+Коткозерское!R65</f>
        <v>0</v>
      </c>
      <c r="S65" s="300">
        <f>Олонецкое!R65+Туксинское!S65+'Ильинское '!S65+Видлицкое!S65+Мегрегское!S65+Куйтежское!S65+Михайловское!S65+Коверское!S65+Коткозерское!S65</f>
        <v>0</v>
      </c>
      <c r="T65" s="188">
        <f>Олонецкое!S65+Туксинское!T65+'Ильинское '!T65+Видлицкое!T65+Мегрегское!T65+Куйтежское!T65+Михайловское!T65+Коверское!T65+Коткозерское!T65</f>
        <v>0</v>
      </c>
      <c r="U65" s="188">
        <f>Олонецкое!T65+Туксинское!U65+'Ильинское '!U65+Видлицкое!U65+Мегрегское!U65+Куйтежское!U65+Михайловское!U65+Коверское!U65+Коткозерское!U65</f>
        <v>0</v>
      </c>
      <c r="V65" s="188">
        <f>Олонецкое!U65+Туксинское!V65+'Ильинское '!V65+Видлицкое!V65+Мегрегское!V65+Куйтежское!V65+Михайловское!V65+Коверское!V65+Коткозерское!V65</f>
        <v>0</v>
      </c>
      <c r="W65" s="300">
        <f>Олонецкое!V65+Туксинское!W65+'Ильинское '!W65+Видлицкое!W65+Мегрегское!W65+Куйтежское!W65+Михайловское!W65+Коверское!W65+Коткозерское!W65</f>
        <v>0</v>
      </c>
      <c r="X65" s="188">
        <f>Олонецкое!W65+Туксинское!X65+'Ильинское '!X65+Видлицкое!X65+Мегрегское!X65+Куйтежское!X65+Михайловское!X65+Коверское!X65+Коткозерское!X65</f>
        <v>0</v>
      </c>
      <c r="Y65" s="188">
        <f>Олонецкое!X65+Туксинское!Y65+'Ильинское '!Y65+Видлицкое!Y65+Мегрегское!Y65+Куйтежское!Y65+Михайловское!Y65+Коверское!Y65+Коткозерское!Y65</f>
        <v>0</v>
      </c>
      <c r="Z65" s="188">
        <f>Олонецкое!Y65+Туксинское!Z65+'Ильинское '!Z65+Видлицкое!Z65+Мегрегское!Z65+Куйтежское!Z65+Михайловское!Z65+Коверское!Z65+Коткозерское!Z65</f>
        <v>0</v>
      </c>
      <c r="AA65" s="300">
        <f>Олонецкое!Z65+Туксинское!AA65+'Ильинское '!AA65+Видлицкое!AA65+Мегрегское!AA65+Куйтежское!AA65+Михайловское!AA65+Коверское!AA65+Коткозерское!AA65</f>
        <v>0</v>
      </c>
      <c r="AB65" s="188">
        <f>Олонецкое!AA65+Туксинское!AB65+'Ильинское '!AB65+Видлицкое!AB65+Мегрегское!AB65+Куйтежское!AB65+Михайловское!AB65+Коверское!AB65+Коткозерское!AB65</f>
        <v>0</v>
      </c>
      <c r="AC65" s="188">
        <f>Олонецкое!AB65+Туксинское!AC65+'Ильинское '!AC65+Видлицкое!AC65+Мегрегское!AC65+Куйтежское!AC65+Михайловское!AC65+Коверское!AC65+Коткозерское!AC65</f>
        <v>0</v>
      </c>
      <c r="AD65" s="188">
        <f>Олонецкое!AC65+Туксинское!AD65+'Ильинское '!AD65+Видлицкое!AD65+Мегрегское!AD65+Куйтежское!AD65+Михайловское!AD65+Коверское!AD65+Коткозерское!AD65</f>
        <v>0</v>
      </c>
    </row>
    <row r="66" spans="1:30" ht="13.5" thickBot="1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91">
        <f>Олонецкое!K66+Туксинское!K66+'Ильинское '!K66+Видлицкое!K66+Мегрегское!K66+Куйтежское!K66+Михайловское!K66+Коверское!K66+Коткозерское!K66</f>
        <v>5648</v>
      </c>
      <c r="L66" s="188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M66" s="188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N66" s="188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O66" s="300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P66" s="188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Q66" s="188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R66" s="188">
        <f>Олонецкое!Q66+Туксинское!R66+'Ильинское '!R66+Видлицкое!R66+Мегрегское!R66+Куйтежское!R66+Михайловское!R66+Коверское!R66+Коткозерское!R66</f>
        <v>471.5</v>
      </c>
      <c r="S66" s="300">
        <f>Олонецкое!R66+Туксинское!S66+'Ильинское '!S66+Видлицкое!S66+Мегрегское!S66+Куйтежское!S66+Михайловское!S66+Коверское!S66+Коткозерское!S66</f>
        <v>1411.5</v>
      </c>
      <c r="T66" s="188">
        <f>Олонецкое!S66+Туксинское!T66+'Ильинское '!T66+Видлицкое!T66+Мегрегское!T66+Куйтежское!T66+Михайловское!T66+Коверское!T66+Коткозерское!T66</f>
        <v>469.5</v>
      </c>
      <c r="U66" s="188">
        <f>Олонецкое!T66+Туксинское!U66+'Ильинское '!U66+Видлицкое!U66+Мегрегское!U66+Куйтежское!U66+Михайловское!U66+Коверское!U66+Коткозерское!U66</f>
        <v>468</v>
      </c>
      <c r="V66" s="188">
        <f>Олонецкое!U66+Туксинское!V66+'Ильинское '!V66+Видлицкое!V66+Мегрегское!V66+Куйтежское!V66+Михайловское!V66+Коверское!V66+Коткозерское!V66</f>
        <v>474</v>
      </c>
      <c r="W66" s="300">
        <f>Олонецкое!V66+Туксинское!W66+'Ильинское '!W66+Видлицкое!W66+Мегрегское!W66+Куйтежское!W66+Михайловское!W66+Коверское!W66+Коткозерское!W66</f>
        <v>1417.5</v>
      </c>
      <c r="X66" s="188">
        <f>Олонецкое!W66+Туксинское!X66+'Ильинское '!X66+Видлицкое!X66+Мегрегское!X66+Куйтежское!X66+Михайловское!X66+Коверское!X66+Коткозерское!X66</f>
        <v>469</v>
      </c>
      <c r="Y66" s="188">
        <f>Олонецкое!X66+Туксинское!Y66+'Ильинское '!Y66+Видлицкое!Y66+Мегрегское!Y66+Куйтежское!Y66+Михайловское!Y66+Коверское!Y66+Коткозерское!Y66</f>
        <v>470.5</v>
      </c>
      <c r="Z66" s="188">
        <f>Олонецкое!Y66+Туксинское!Z66+'Ильинское '!Z66+Видлицкое!Z66+Мегрегское!Z66+Куйтежское!Z66+Михайловское!Z66+Коверское!Z66+Коткозерское!Z66</f>
        <v>478</v>
      </c>
      <c r="AA66" s="300">
        <f>Олонецкое!Z66+Туксинское!AA66+'Ильинское '!AA66+Видлицкое!AA66+Мегрегское!AA66+Куйтежское!AA66+Михайловское!AA66+Коверское!AA66+Коткозерское!AA66</f>
        <v>1411</v>
      </c>
      <c r="AB66" s="188">
        <f>Олонецкое!AA66+Туксинское!AB66+'Ильинское '!AB66+Видлицкое!AB66+Мегрегское!AB66+Куйтежское!AB66+Михайловское!AB66+Коверское!AB66+Коткозерское!AB66</f>
        <v>468.5</v>
      </c>
      <c r="AC66" s="188">
        <f>Олонецкое!AB66+Туксинское!AC66+'Ильинское '!AC66+Видлицкое!AC66+Мегрегское!AC66+Куйтежское!AC66+Михайловское!AC66+Коверское!AC66+Коткозерское!AC66</f>
        <v>468.5</v>
      </c>
      <c r="AD66" s="188">
        <f>Олонецкое!AC66+Туксинское!AD66+'Ильинское '!AD66+Видлицкое!AD66+Мегрегское!AD66+Куйтежское!AD66+Михайловское!AD66+Коверское!AD66+Коткозерское!AD66</f>
        <v>474</v>
      </c>
    </row>
    <row r="67" spans="1:30" ht="13.5" hidden="1" thickBot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189">
        <f>Олонецкое!K67+Туксинское!K67+'Ильинское '!K67+Видлицкое!K67+Мегрегское!K67+Куйтежское!K67+Михайловское!K67+Коверское!K67+Коткозерское!K67</f>
        <v>0</v>
      </c>
      <c r="L67" s="188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M67" s="188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N67" s="188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O67" s="300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P67" s="188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Q67" s="188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R67" s="188">
        <f>Олонецкое!Q67+Туксинское!R67+'Ильинское '!R67+Видлицкое!R67+Мегрегское!R67+Куйтежское!R67+Михайловское!R67+Коверское!R67+Коткозерское!R67</f>
        <v>0</v>
      </c>
      <c r="S67" s="300">
        <f>Олонецкое!R67+Туксинское!S67+'Ильинское '!S67+Видлицкое!S67+Мегрегское!S67+Куйтежское!S67+Михайловское!S67+Коверское!S67+Коткозерское!S67</f>
        <v>0</v>
      </c>
      <c r="T67" s="188">
        <f>Олонецкое!S67+Туксинское!T67+'Ильинское '!T67+Видлицкое!T67+Мегрегское!T67+Куйтежское!T67+Михайловское!T67+Коверское!T67+Коткозерское!T67</f>
        <v>0</v>
      </c>
      <c r="U67" s="188">
        <f>Олонецкое!T67+Туксинское!U67+'Ильинское '!U67+Видлицкое!U67+Мегрегское!U67+Куйтежское!U67+Михайловское!U67+Коверское!U67+Коткозерское!U67</f>
        <v>0</v>
      </c>
      <c r="V67" s="188">
        <f>Олонецкое!U67+Туксинское!V67+'Ильинское '!V67+Видлицкое!V67+Мегрегское!V67+Куйтежское!V67+Михайловское!V67+Коверское!V67+Коткозерское!V67</f>
        <v>0</v>
      </c>
      <c r="W67" s="300">
        <f>Олонецкое!V67+Туксинское!W67+'Ильинское '!W67+Видлицкое!W67+Мегрегское!W67+Куйтежское!W67+Михайловское!W67+Коверское!W67+Коткозерское!W67</f>
        <v>0</v>
      </c>
      <c r="X67" s="188">
        <f>Олонецкое!W67+Туксинское!X67+'Ильинское '!X67+Видлицкое!X67+Мегрегское!X67+Куйтежское!X67+Михайловское!X67+Коверское!X67+Коткозерское!X67</f>
        <v>0</v>
      </c>
      <c r="Y67" s="188">
        <f>Олонецкое!X67+Туксинское!Y67+'Ильинское '!Y67+Видлицкое!Y67+Мегрегское!Y67+Куйтежское!Y67+Михайловское!Y67+Коверское!Y67+Коткозерское!Y67</f>
        <v>0</v>
      </c>
      <c r="Z67" s="188">
        <f>Олонецкое!Y67+Туксинское!Z67+'Ильинское '!Z67+Видлицкое!Z67+Мегрегское!Z67+Куйтежское!Z67+Михайловское!Z67+Коверское!Z67+Коткозерское!Z67</f>
        <v>0</v>
      </c>
      <c r="AA67" s="300">
        <f>Олонецкое!Z67+Туксинское!AA67+'Ильинское '!AA67+Видлицкое!AA67+Мегрегское!AA67+Куйтежское!AA67+Михайловское!AA67+Коверское!AA67+Коткозерское!AA67</f>
        <v>0</v>
      </c>
      <c r="AB67" s="188">
        <f>Олонецкое!AA67+Туксинское!AB67+'Ильинское '!AB67+Видлицкое!AB67+Мегрегское!AB67+Куйтежское!AB67+Михайловское!AB67+Коверское!AB67+Коткозерское!AB67</f>
        <v>0</v>
      </c>
      <c r="AC67" s="188">
        <f>Олонецкое!AB67+Туксинское!AC67+'Ильинское '!AC67+Видлицкое!AC67+Мегрегское!AC67+Куйтежское!AC67+Михайловское!AC67+Коверское!AC67+Коткозерское!AC67</f>
        <v>0</v>
      </c>
      <c r="AD67" s="188">
        <f>Олонецкое!AC67+Туксинское!AD67+'Ильинское '!AD67+Видлицкое!AD67+Мегрегское!AD67+Куйтежское!AD67+Михайловское!AD67+Коверское!AD67+Коткозерское!AD67</f>
        <v>0</v>
      </c>
    </row>
    <row r="68" spans="1:30" ht="13.5" thickBot="1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189">
        <f>Олонецкое!K68+Туксинское!K68+'Ильинское '!K68+Видлицкое!K68+Мегрегское!K68+Куйтежское!K68+Михайловское!K68+Коверское!K68+Коткозерское!K68</f>
        <v>5536</v>
      </c>
      <c r="L68" s="188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M68" s="188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N68" s="188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O68" s="300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P68" s="188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Q68" s="188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R68" s="188">
        <f>Олонецкое!Q68+Туксинское!R68+'Ильинское '!R68+Видлицкое!R68+Мегрегское!R68+Куйтежское!R68+Михайловское!R68+Коверское!R68+Коткозерское!R68</f>
        <v>462</v>
      </c>
      <c r="S68" s="300">
        <f>Олонецкое!R68+Туксинское!S68+'Ильинское '!S68+Видлицкое!S68+Мегрегское!S68+Куйтежское!S68+Михайловское!S68+Коверское!S68+Коткозерское!S68</f>
        <v>1383</v>
      </c>
      <c r="T68" s="188">
        <f>Олонецкое!S68+Туксинское!T68+'Ильинское '!T68+Видлицкое!T68+Мегрегское!T68+Куйтежское!T68+Михайловское!T68+Коверское!T68+Коткозерское!T68</f>
        <v>460</v>
      </c>
      <c r="U68" s="188">
        <f>Олонецкое!T68+Туксинское!U68+'Ильинское '!U68+Видлицкое!U68+Мегрегское!U68+Куйтежское!U68+Михайловское!U68+Коверское!U68+Коткозерское!U68</f>
        <v>460</v>
      </c>
      <c r="V68" s="188">
        <f>Олонецкое!U68+Туксинское!V68+'Ильинское '!V68+Видлицкое!V68+Мегрегское!V68+Куйтежское!V68+Михайловское!V68+Коверское!V68+Коткозерское!V68</f>
        <v>463</v>
      </c>
      <c r="W68" s="300">
        <f>Олонецкое!V68+Туксинское!W68+'Ильинское '!W68+Видлицкое!W68+Мегрегское!W68+Куйтежское!W68+Михайловское!W68+Коверское!W68+Коткозерское!W68</f>
        <v>1388</v>
      </c>
      <c r="X68" s="188">
        <f>Олонецкое!W68+Туксинское!X68+'Ильинское '!X68+Видлицкое!X68+Мегрегское!X68+Куйтежское!X68+Михайловское!X68+Коверское!X68+Коткозерское!X68</f>
        <v>461</v>
      </c>
      <c r="Y68" s="188">
        <f>Олонецкое!X68+Туксинское!Y68+'Ильинское '!Y68+Видлицкое!Y68+Мегрегское!Y68+Куйтежское!Y68+Михайловское!Y68+Коверское!Y68+Коткозерское!Y68</f>
        <v>462</v>
      </c>
      <c r="Z68" s="188">
        <f>Олонецкое!Y68+Туксинское!Z68+'Ильинское '!Z68+Видлицкое!Z68+Мегрегское!Z68+Куйтежское!Z68+Михайловское!Z68+Коверское!Z68+Коткозерское!Z68</f>
        <v>465</v>
      </c>
      <c r="AA68" s="300">
        <f>Олонецкое!Z68+Туксинское!AA68+'Ильинское '!AA68+Видлицкое!AA68+Мегрегское!AA68+Куйтежское!AA68+Михайловское!AA68+Коверское!AA68+Коткозерское!AA68</f>
        <v>1383</v>
      </c>
      <c r="AB68" s="188">
        <f>Олонецкое!AA68+Туксинское!AB68+'Ильинское '!AB68+Видлицкое!AB68+Мегрегское!AB68+Куйтежское!AB68+Михайловское!AB68+Коверское!AB68+Коткозерское!AB68</f>
        <v>460</v>
      </c>
      <c r="AC68" s="188">
        <f>Олонецкое!AB68+Туксинское!AC68+'Ильинское '!AC68+Видлицкое!AC68+Мегрегское!AC68+Куйтежское!AC68+Михайловское!AC68+Коверское!AC68+Коткозерское!AC68</f>
        <v>460</v>
      </c>
      <c r="AD68" s="188">
        <f>Олонецкое!AC68+Туксинское!AD68+'Ильинское '!AD68+Видлицкое!AD68+Мегрегское!AD68+Куйтежское!AD68+Михайловское!AD68+Коверское!AD68+Коткозерское!AD68</f>
        <v>463</v>
      </c>
    </row>
    <row r="69" spans="1:30" ht="13.5" thickBot="1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200">
        <f>Олонецкое!K69+Туксинское!K69+'Ильинское '!K69+Видлицкое!K69+Мегрегское!K69+Куйтежское!K69+Михайловское!K69+Коверское!K69+Коткозерское!K69</f>
        <v>5536</v>
      </c>
      <c r="L69" s="188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M69" s="188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N69" s="188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O69" s="300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P69" s="188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Q69" s="188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R69" s="188">
        <f>Олонецкое!Q69+Туксинское!R69+'Ильинское '!R69+Видлицкое!R69+Мегрегское!R69+Куйтежское!R69+Михайловское!R69+Коверское!R69+Коткозерское!R69</f>
        <v>462</v>
      </c>
      <c r="S69" s="300">
        <f>Олонецкое!R69+Туксинское!S69+'Ильинское '!S69+Видлицкое!S69+Мегрегское!S69+Куйтежское!S69+Михайловское!S69+Коверское!S69+Коткозерское!S69</f>
        <v>1383</v>
      </c>
      <c r="T69" s="188">
        <f>Олонецкое!S69+Туксинское!T69+'Ильинское '!T69+Видлицкое!T69+Мегрегское!T69+Куйтежское!T69+Михайловское!T69+Коверское!T69+Коткозерское!T69</f>
        <v>460</v>
      </c>
      <c r="U69" s="188">
        <f>Олонецкое!T69+Туксинское!U69+'Ильинское '!U69+Видлицкое!U69+Мегрегское!U69+Куйтежское!U69+Михайловское!U69+Коверское!U69+Коткозерское!U69</f>
        <v>460</v>
      </c>
      <c r="V69" s="188">
        <f>Олонецкое!U69+Туксинское!V69+'Ильинское '!V69+Видлицкое!V69+Мегрегское!V69+Куйтежское!V69+Михайловское!V69+Коверское!V69+Коткозерское!V69</f>
        <v>463</v>
      </c>
      <c r="W69" s="300">
        <f>Олонецкое!V69+Туксинское!W69+'Ильинское '!W69+Видлицкое!W69+Мегрегское!W69+Куйтежское!W69+Михайловское!W69+Коверское!W69+Коткозерское!W69</f>
        <v>1388</v>
      </c>
      <c r="X69" s="188">
        <f>Олонецкое!W69+Туксинское!X69+'Ильинское '!X69+Видлицкое!X69+Мегрегское!X69+Куйтежское!X69+Михайловское!X69+Коверское!X69+Коткозерское!X69</f>
        <v>461</v>
      </c>
      <c r="Y69" s="188">
        <f>Олонецкое!X69+Туксинское!Y69+'Ильинское '!Y69+Видлицкое!Y69+Мегрегское!Y69+Куйтежское!Y69+Михайловское!Y69+Коверское!Y69+Коткозерское!Y69</f>
        <v>462</v>
      </c>
      <c r="Z69" s="188">
        <f>Олонецкое!Y69+Туксинское!Z69+'Ильинское '!Z69+Видлицкое!Z69+Мегрегское!Z69+Куйтежское!Z69+Михайловское!Z69+Коверское!Z69+Коткозерское!Z69</f>
        <v>465</v>
      </c>
      <c r="AA69" s="300">
        <f>Олонецкое!Z69+Туксинское!AA69+'Ильинское '!AA69+Видлицкое!AA69+Мегрегское!AA69+Куйтежское!AA69+Михайловское!AA69+Коверское!AA69+Коткозерское!AA69</f>
        <v>1383</v>
      </c>
      <c r="AB69" s="188">
        <f>Олонецкое!AA69+Туксинское!AB69+'Ильинское '!AB69+Видлицкое!AB69+Мегрегское!AB69+Куйтежское!AB69+Михайловское!AB69+Коверское!AB69+Коткозерское!AB69</f>
        <v>460</v>
      </c>
      <c r="AC69" s="188">
        <f>Олонецкое!AB69+Туксинское!AC69+'Ильинское '!AC69+Видлицкое!AC69+Мегрегское!AC69+Куйтежское!AC69+Михайловское!AC69+Коверское!AC69+Коткозерское!AC69</f>
        <v>460</v>
      </c>
      <c r="AD69" s="188">
        <f>Олонецкое!AC69+Туксинское!AD69+'Ильинское '!AD69+Видлицкое!AD69+Мегрегское!AD69+Куйтежское!AD69+Михайловское!AD69+Коверское!AD69+Коткозерское!AD69</f>
        <v>463</v>
      </c>
    </row>
    <row r="70" spans="1:30" ht="24.75" thickBot="1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89">
        <f>Олонецкое!K70+Туксинское!K70+'Ильинское '!K70+Видлицкое!K70+Мегрегское!K70+Куйтежское!K70+Михайловское!K70+Коверское!K70+Коткозерское!K70</f>
        <v>0</v>
      </c>
      <c r="L70" s="188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M70" s="188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N70" s="188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O70" s="300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P70" s="188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Q70" s="188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R70" s="188">
        <f>Олонецкое!Q70+Туксинское!R70+'Ильинское '!R70+Видлицкое!R70+Мегрегское!R70+Куйтежское!R70+Михайловское!R70+Коверское!R70+Коткозерское!R70</f>
        <v>0</v>
      </c>
      <c r="S70" s="300">
        <f>Олонецкое!R70+Туксинское!S70+'Ильинское '!S70+Видлицкое!S70+Мегрегское!S70+Куйтежское!S70+Михайловское!S70+Коверское!S70+Коткозерское!S70</f>
        <v>0</v>
      </c>
      <c r="T70" s="188">
        <f>Олонецкое!S70+Туксинское!T70+'Ильинское '!T70+Видлицкое!T70+Мегрегское!T70+Куйтежское!T70+Михайловское!T70+Коверское!T70+Коткозерское!T70</f>
        <v>0</v>
      </c>
      <c r="U70" s="188">
        <f>Олонецкое!T70+Туксинское!U70+'Ильинское '!U70+Видлицкое!U70+Мегрегское!U70+Куйтежское!U70+Михайловское!U70+Коверское!U70+Коткозерское!U70</f>
        <v>0</v>
      </c>
      <c r="V70" s="188">
        <f>Олонецкое!U70+Туксинское!V70+'Ильинское '!V70+Видлицкое!V70+Мегрегское!V70+Куйтежское!V70+Михайловское!V70+Коверское!V70+Коткозерское!V70</f>
        <v>0</v>
      </c>
      <c r="W70" s="300">
        <f>Олонецкое!V70+Туксинское!W70+'Ильинское '!W70+Видлицкое!W70+Мегрегское!W70+Куйтежское!W70+Михайловское!W70+Коверское!W70+Коткозерское!W70</f>
        <v>0</v>
      </c>
      <c r="X70" s="188">
        <f>Олонецкое!W70+Туксинское!X70+'Ильинское '!X70+Видлицкое!X70+Мегрегское!X70+Куйтежское!X70+Михайловское!X70+Коверское!X70+Коткозерское!X70</f>
        <v>0</v>
      </c>
      <c r="Y70" s="188">
        <f>Олонецкое!X70+Туксинское!Y70+'Ильинское '!Y70+Видлицкое!Y70+Мегрегское!Y70+Куйтежское!Y70+Михайловское!Y70+Коверское!Y70+Коткозерское!Y70</f>
        <v>0</v>
      </c>
      <c r="Z70" s="188">
        <f>Олонецкое!Y70+Туксинское!Z70+'Ильинское '!Z70+Видлицкое!Z70+Мегрегское!Z70+Куйтежское!Z70+Михайловское!Z70+Коверское!Z70+Коткозерское!Z70</f>
        <v>0</v>
      </c>
      <c r="AA70" s="300">
        <f>Олонецкое!Z70+Туксинское!AA70+'Ильинское '!AA70+Видлицкое!AA70+Мегрегское!AA70+Куйтежское!AA70+Михайловское!AA70+Коверское!AA70+Коткозерское!AA70</f>
        <v>0</v>
      </c>
      <c r="AB70" s="188">
        <f>Олонецкое!AA70+Туксинское!AB70+'Ильинское '!AB70+Видлицкое!AB70+Мегрегское!AB70+Куйтежское!AB70+Михайловское!AB70+Коверское!AB70+Коткозерское!AB70</f>
        <v>0</v>
      </c>
      <c r="AC70" s="188">
        <f>Олонецкое!AB70+Туксинское!AC70+'Ильинское '!AC70+Видлицкое!AC70+Мегрегское!AC70+Куйтежское!AC70+Михайловское!AC70+Коверское!AC70+Коткозерское!AC70</f>
        <v>0</v>
      </c>
      <c r="AD70" s="188">
        <f>Олонецкое!AC70+Туксинское!AD70+'Ильинское '!AD70+Видлицкое!AD70+Мегрегское!AD70+Куйтежское!AD70+Михайловское!AD70+Коверское!AD70+Коткозерское!AD70</f>
        <v>0</v>
      </c>
    </row>
    <row r="71" spans="1:30" ht="24.75" thickBot="1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89">
        <f>Олонецкое!K71+Туксинское!K71+'Ильинское '!K71+Видлицкое!K71+Мегрегское!K71+Куйтежское!K71+Михайловское!K71+Коверское!K71+Коткозерское!K71</f>
        <v>0</v>
      </c>
      <c r="L71" s="188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M71" s="188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N71" s="188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O71" s="300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P71" s="188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Q71" s="188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R71" s="188">
        <f>Олонецкое!Q71+Туксинское!R71+'Ильинское '!R71+Видлицкое!R71+Мегрегское!R71+Куйтежское!R71+Михайловское!R71+Коверское!R71+Коткозерское!R71</f>
        <v>0</v>
      </c>
      <c r="S71" s="300">
        <f>Олонецкое!R71+Туксинское!S71+'Ильинское '!S71+Видлицкое!S71+Мегрегское!S71+Куйтежское!S71+Михайловское!S71+Коверское!S71+Коткозерское!S71</f>
        <v>0</v>
      </c>
      <c r="T71" s="188">
        <f>Олонецкое!S71+Туксинское!T71+'Ильинское '!T71+Видлицкое!T71+Мегрегское!T71+Куйтежское!T71+Михайловское!T71+Коверское!T71+Коткозерское!T71</f>
        <v>0</v>
      </c>
      <c r="U71" s="188">
        <f>Олонецкое!T71+Туксинское!U71+'Ильинское '!U71+Видлицкое!U71+Мегрегское!U71+Куйтежское!U71+Михайловское!U71+Коверское!U71+Коткозерское!U71</f>
        <v>0</v>
      </c>
      <c r="V71" s="188">
        <f>Олонецкое!U71+Туксинское!V71+'Ильинское '!V71+Видлицкое!V71+Мегрегское!V71+Куйтежское!V71+Михайловское!V71+Коверское!V71+Коткозерское!V71</f>
        <v>0</v>
      </c>
      <c r="W71" s="300">
        <f>Олонецкое!V71+Туксинское!W71+'Ильинское '!W71+Видлицкое!W71+Мегрегское!W71+Куйтежское!W71+Михайловское!W71+Коверское!W71+Коткозерское!W71</f>
        <v>0</v>
      </c>
      <c r="X71" s="188">
        <f>Олонецкое!W71+Туксинское!X71+'Ильинское '!X71+Видлицкое!X71+Мегрегское!X71+Куйтежское!X71+Михайловское!X71+Коверское!X71+Коткозерское!X71</f>
        <v>0</v>
      </c>
      <c r="Y71" s="188">
        <f>Олонецкое!X71+Туксинское!Y71+'Ильинское '!Y71+Видлицкое!Y71+Мегрегское!Y71+Куйтежское!Y71+Михайловское!Y71+Коверское!Y71+Коткозерское!Y71</f>
        <v>0</v>
      </c>
      <c r="Z71" s="188">
        <f>Олонецкое!Y71+Туксинское!Z71+'Ильинское '!Z71+Видлицкое!Z71+Мегрегское!Z71+Куйтежское!Z71+Михайловское!Z71+Коверское!Z71+Коткозерское!Z71</f>
        <v>0</v>
      </c>
      <c r="AA71" s="300">
        <f>Олонецкое!Z71+Туксинское!AA71+'Ильинское '!AA71+Видлицкое!AA71+Мегрегское!AA71+Куйтежское!AA71+Михайловское!AA71+Коверское!AA71+Коткозерское!AA71</f>
        <v>0</v>
      </c>
      <c r="AB71" s="188">
        <f>Олонецкое!AA71+Туксинское!AB71+'Ильинское '!AB71+Видлицкое!AB71+Мегрегское!AB71+Куйтежское!AB71+Михайловское!AB71+Коверское!AB71+Коткозерское!AB71</f>
        <v>0</v>
      </c>
      <c r="AC71" s="188">
        <f>Олонецкое!AB71+Туксинское!AC71+'Ильинское '!AC71+Видлицкое!AC71+Мегрегское!AC71+Куйтежское!AC71+Михайловское!AC71+Коверское!AC71+Коткозерское!AC71</f>
        <v>0</v>
      </c>
      <c r="AD71" s="188">
        <f>Олонецкое!AC71+Туксинское!AD71+'Ильинское '!AD71+Видлицкое!AD71+Мегрегское!AD71+Куйтежское!AD71+Михайловское!AD71+Коверское!AD71+Коткозерское!AD71</f>
        <v>0</v>
      </c>
    </row>
    <row r="72" spans="1:30" ht="13.5" thickBot="1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189">
        <f>Олонецкое!K72+Туксинское!K72+'Ильинское '!K72+Видлицкое!K72+Мегрегское!K72+Куйтежское!K72+Михайловское!K72+Коверское!K72+Коткозерское!K72</f>
        <v>0</v>
      </c>
      <c r="L72" s="188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M72" s="188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N72" s="188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O72" s="300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P72" s="188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Q72" s="188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R72" s="188">
        <f>Олонецкое!Q72+Туксинское!R72+'Ильинское '!R72+Видлицкое!R72+Мегрегское!R72+Куйтежское!R72+Михайловское!R72+Коверское!R72+Коткозерское!R72</f>
        <v>0</v>
      </c>
      <c r="S72" s="300">
        <f>Олонецкое!R72+Туксинское!S72+'Ильинское '!S72+Видлицкое!S72+Мегрегское!S72+Куйтежское!S72+Михайловское!S72+Коверское!S72+Коткозерское!S72</f>
        <v>0</v>
      </c>
      <c r="T72" s="188">
        <f>Олонецкое!S72+Туксинское!T72+'Ильинское '!T72+Видлицкое!T72+Мегрегское!T72+Куйтежское!T72+Михайловское!T72+Коверское!T72+Коткозерское!T72</f>
        <v>0</v>
      </c>
      <c r="U72" s="188">
        <f>Олонецкое!T72+Туксинское!U72+'Ильинское '!U72+Видлицкое!U72+Мегрегское!U72+Куйтежское!U72+Михайловское!U72+Коверское!U72+Коткозерское!U72</f>
        <v>0</v>
      </c>
      <c r="V72" s="188">
        <f>Олонецкое!U72+Туксинское!V72+'Ильинское '!V72+Видлицкое!V72+Мегрегское!V72+Куйтежское!V72+Михайловское!V72+Коверское!V72+Коткозерское!V72</f>
        <v>0</v>
      </c>
      <c r="W72" s="300">
        <f>Олонецкое!V72+Туксинское!W72+'Ильинское '!W72+Видлицкое!W72+Мегрегское!W72+Куйтежское!W72+Михайловское!W72+Коверское!W72+Коткозерское!W72</f>
        <v>0</v>
      </c>
      <c r="X72" s="188">
        <f>Олонецкое!W72+Туксинское!X72+'Ильинское '!X72+Видлицкое!X72+Мегрегское!X72+Куйтежское!X72+Михайловское!X72+Коверское!X72+Коткозерское!X72</f>
        <v>0</v>
      </c>
      <c r="Y72" s="188">
        <f>Олонецкое!X72+Туксинское!Y72+'Ильинское '!Y72+Видлицкое!Y72+Мегрегское!Y72+Куйтежское!Y72+Михайловское!Y72+Коверское!Y72+Коткозерское!Y72</f>
        <v>0</v>
      </c>
      <c r="Z72" s="188">
        <f>Олонецкое!Y72+Туксинское!Z72+'Ильинское '!Z72+Видлицкое!Z72+Мегрегское!Z72+Куйтежское!Z72+Михайловское!Z72+Коверское!Z72+Коткозерское!Z72</f>
        <v>0</v>
      </c>
      <c r="AA72" s="300">
        <f>Олонецкое!Z72+Туксинское!AA72+'Ильинское '!AA72+Видлицкое!AA72+Мегрегское!AA72+Куйтежское!AA72+Михайловское!AA72+Коверское!AA72+Коткозерское!AA72</f>
        <v>0</v>
      </c>
      <c r="AB72" s="188">
        <f>Олонецкое!AA72+Туксинское!AB72+'Ильинское '!AB72+Видлицкое!AB72+Мегрегское!AB72+Куйтежское!AB72+Михайловское!AB72+Коверское!AB72+Коткозерское!AB72</f>
        <v>0</v>
      </c>
      <c r="AC72" s="188">
        <f>Олонецкое!AB72+Туксинское!AC72+'Ильинское '!AC72+Видлицкое!AC72+Мегрегское!AC72+Куйтежское!AC72+Михайловское!AC72+Коверское!AC72+Коткозерское!AC72</f>
        <v>0</v>
      </c>
      <c r="AD72" s="188">
        <f>Олонецкое!AC72+Туксинское!AD72+'Ильинское '!AD72+Видлицкое!AD72+Мегрегское!AD72+Куйтежское!AD72+Михайловское!AD72+Коверское!AD72+Коткозерское!AD72</f>
        <v>0</v>
      </c>
    </row>
    <row r="73" spans="1:30" ht="96.75" thickBo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190">
        <f>Олонецкое!K73+Туксинское!K73+'Ильинское '!K73+Видлицкое!K73+Мегрегское!K73+Куйтежское!K73+Михайловское!K73+Коверское!K73+Коткозерское!K73</f>
        <v>0</v>
      </c>
      <c r="L73" s="188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M73" s="188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N73" s="188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O73" s="300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P73" s="188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Q73" s="188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R73" s="188">
        <f>Олонецкое!Q73+Туксинское!R73+'Ильинское '!R73+Видлицкое!R73+Мегрегское!R73+Куйтежское!R73+Михайловское!R73+Коверское!R73+Коткозерское!R73</f>
        <v>0</v>
      </c>
      <c r="S73" s="300">
        <f>Олонецкое!R73+Туксинское!S73+'Ильинское '!S73+Видлицкое!S73+Мегрегское!S73+Куйтежское!S73+Михайловское!S73+Коверское!S73+Коткозерское!S73</f>
        <v>0</v>
      </c>
      <c r="T73" s="188">
        <f>Олонецкое!S73+Туксинское!T73+'Ильинское '!T73+Видлицкое!T73+Мегрегское!T73+Куйтежское!T73+Михайловское!T73+Коверское!T73+Коткозерское!T73</f>
        <v>0</v>
      </c>
      <c r="U73" s="188">
        <f>Олонецкое!T73+Туксинское!U73+'Ильинское '!U73+Видлицкое!U73+Мегрегское!U73+Куйтежское!U73+Михайловское!U73+Коверское!U73+Коткозерское!U73</f>
        <v>0</v>
      </c>
      <c r="V73" s="188">
        <f>Олонецкое!U73+Туксинское!V73+'Ильинское '!V73+Видлицкое!V73+Мегрегское!V73+Куйтежское!V73+Михайловское!V73+Коверское!V73+Коткозерское!V73</f>
        <v>0</v>
      </c>
      <c r="W73" s="300">
        <f>Олонецкое!V73+Туксинское!W73+'Ильинское '!W73+Видлицкое!W73+Мегрегское!W73+Куйтежское!W73+Михайловское!W73+Коверское!W73+Коткозерское!W73</f>
        <v>0</v>
      </c>
      <c r="X73" s="188">
        <f>Олонецкое!W73+Туксинское!X73+'Ильинское '!X73+Видлицкое!X73+Мегрегское!X73+Куйтежское!X73+Михайловское!X73+Коверское!X73+Коткозерское!X73</f>
        <v>0</v>
      </c>
      <c r="Y73" s="188">
        <f>Олонецкое!X73+Туксинское!Y73+'Ильинское '!Y73+Видлицкое!Y73+Мегрегское!Y73+Куйтежское!Y73+Михайловское!Y73+Коверское!Y73+Коткозерское!Y73</f>
        <v>0</v>
      </c>
      <c r="Z73" s="188">
        <f>Олонецкое!Y73+Туксинское!Z73+'Ильинское '!Z73+Видлицкое!Z73+Мегрегское!Z73+Куйтежское!Z73+Михайловское!Z73+Коверское!Z73+Коткозерское!Z73</f>
        <v>0</v>
      </c>
      <c r="AA73" s="300">
        <f>Олонецкое!Z73+Туксинское!AA73+'Ильинское '!AA73+Видлицкое!AA73+Мегрегское!AA73+Куйтежское!AA73+Михайловское!AA73+Коверское!AA73+Коткозерское!AA73</f>
        <v>0</v>
      </c>
      <c r="AB73" s="188">
        <f>Олонецкое!AA73+Туксинское!AB73+'Ильинское '!AB73+Видлицкое!AB73+Мегрегское!AB73+Куйтежское!AB73+Михайловское!AB73+Коверское!AB73+Коткозерское!AB73</f>
        <v>0</v>
      </c>
      <c r="AC73" s="188">
        <f>Олонецкое!AB73+Туксинское!AC73+'Ильинское '!AC73+Видлицкое!AC73+Мегрегское!AC73+Куйтежское!AC73+Михайловское!AC73+Коверское!AC73+Коткозерское!AC73</f>
        <v>0</v>
      </c>
      <c r="AD73" s="188">
        <f>Олонецкое!AC73+Туксинское!AD73+'Ильинское '!AD73+Видлицкое!AD73+Мегрегское!AD73+Куйтежское!AD73+Михайловское!AD73+Коверское!AD73+Коткозерское!AD73</f>
        <v>0</v>
      </c>
    </row>
    <row r="74" spans="1:30" ht="24.75" thickBot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190">
        <f>Олонецкое!K74+Туксинское!K74+'Ильинское '!K74+Видлицкое!K74+Мегрегское!K74+Куйтежское!K74+Михайловское!K74+Коверское!K74+Коткозерское!K74</f>
        <v>0</v>
      </c>
      <c r="L74" s="188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M74" s="188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N74" s="188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O74" s="300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P74" s="188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Q74" s="188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R74" s="188">
        <f>Олонецкое!Q74+Туксинское!R74+'Ильинское '!R74+Видлицкое!R74+Мегрегское!R74+Куйтежское!R74+Михайловское!R74+Коверское!R74+Коткозерское!R74</f>
        <v>0</v>
      </c>
      <c r="S74" s="300">
        <f>Олонецкое!R74+Туксинское!S74+'Ильинское '!S74+Видлицкое!S74+Мегрегское!S74+Куйтежское!S74+Михайловское!S74+Коверское!S74+Коткозерское!S74</f>
        <v>0</v>
      </c>
      <c r="T74" s="188">
        <f>Олонецкое!S74+Туксинское!T74+'Ильинское '!T74+Видлицкое!T74+Мегрегское!T74+Куйтежское!T74+Михайловское!T74+Коверское!T74+Коткозерское!T74</f>
        <v>0</v>
      </c>
      <c r="U74" s="188">
        <f>Олонецкое!T74+Туксинское!U74+'Ильинское '!U74+Видлицкое!U74+Мегрегское!U74+Куйтежское!U74+Михайловское!U74+Коверское!U74+Коткозерское!U74</f>
        <v>0</v>
      </c>
      <c r="V74" s="188">
        <f>Олонецкое!U74+Туксинское!V74+'Ильинское '!V74+Видлицкое!V74+Мегрегское!V74+Куйтежское!V74+Михайловское!V74+Коверское!V74+Коткозерское!V74</f>
        <v>0</v>
      </c>
      <c r="W74" s="300">
        <f>Олонецкое!V74+Туксинское!W74+'Ильинское '!W74+Видлицкое!W74+Мегрегское!W74+Куйтежское!W74+Михайловское!W74+Коверское!W74+Коткозерское!W74</f>
        <v>0</v>
      </c>
      <c r="X74" s="188">
        <f>Олонецкое!W74+Туксинское!X74+'Ильинское '!X74+Видлицкое!X74+Мегрегское!X74+Куйтежское!X74+Михайловское!X74+Коверское!X74+Коткозерское!X74</f>
        <v>0</v>
      </c>
      <c r="Y74" s="188">
        <f>Олонецкое!X74+Туксинское!Y74+'Ильинское '!Y74+Видлицкое!Y74+Мегрегское!Y74+Куйтежское!Y74+Михайловское!Y74+Коверское!Y74+Коткозерское!Y74</f>
        <v>0</v>
      </c>
      <c r="Z74" s="188">
        <f>Олонецкое!Y74+Туксинское!Z74+'Ильинское '!Z74+Видлицкое!Z74+Мегрегское!Z74+Куйтежское!Z74+Михайловское!Z74+Коверское!Z74+Коткозерское!Z74</f>
        <v>0</v>
      </c>
      <c r="AA74" s="300">
        <f>Олонецкое!Z74+Туксинское!AA74+'Ильинское '!AA74+Видлицкое!AA74+Мегрегское!AA74+Куйтежское!AA74+Михайловское!AA74+Коверское!AA74+Коткозерское!AA74</f>
        <v>0</v>
      </c>
      <c r="AB74" s="188">
        <f>Олонецкое!AA74+Туксинское!AB74+'Ильинское '!AB74+Видлицкое!AB74+Мегрегское!AB74+Куйтежское!AB74+Михайловское!AB74+Коверское!AB74+Коткозерское!AB74</f>
        <v>0</v>
      </c>
      <c r="AC74" s="188">
        <f>Олонецкое!AB74+Туксинское!AC74+'Ильинское '!AC74+Видлицкое!AC74+Мегрегское!AC74+Куйтежское!AC74+Михайловское!AC74+Коверское!AC74+Коткозерское!AC74</f>
        <v>0</v>
      </c>
      <c r="AD74" s="188">
        <f>Олонецкое!AC74+Туксинское!AD74+'Ильинское '!AD74+Видлицкое!AD74+Мегрегское!AD74+Куйтежское!AD74+Михайловское!AD74+Коверское!AD74+Коткозерское!AD74</f>
        <v>0</v>
      </c>
    </row>
    <row r="75" spans="1:30" ht="24.75" thickBo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190">
        <f>Олонецкое!K75+Туксинское!K75+'Ильинское '!K75+Видлицкое!K75+Мегрегское!K75+Куйтежское!K75+Михайловское!K75+Коверское!K75+Коткозерское!K75</f>
        <v>0</v>
      </c>
      <c r="L75" s="188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M75" s="188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N75" s="188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O75" s="300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P75" s="188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Q75" s="188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R75" s="188">
        <f>Олонецкое!Q75+Туксинское!R75+'Ильинское '!R75+Видлицкое!R75+Мегрегское!R75+Куйтежское!R75+Михайловское!R75+Коверское!R75+Коткозерское!R75</f>
        <v>0</v>
      </c>
      <c r="S75" s="300">
        <f>Олонецкое!R75+Туксинское!S75+'Ильинское '!S75+Видлицкое!S75+Мегрегское!S75+Куйтежское!S75+Михайловское!S75+Коверское!S75+Коткозерское!S75</f>
        <v>0</v>
      </c>
      <c r="T75" s="188">
        <f>Олонецкое!S75+Туксинское!T75+'Ильинское '!T75+Видлицкое!T75+Мегрегское!T75+Куйтежское!T75+Михайловское!T75+Коверское!T75+Коткозерское!T75</f>
        <v>0</v>
      </c>
      <c r="U75" s="188">
        <f>Олонецкое!T75+Туксинское!U75+'Ильинское '!U75+Видлицкое!U75+Мегрегское!U75+Куйтежское!U75+Михайловское!U75+Коверское!U75+Коткозерское!U75</f>
        <v>0</v>
      </c>
      <c r="V75" s="188">
        <f>Олонецкое!U75+Туксинское!V75+'Ильинское '!V75+Видлицкое!V75+Мегрегское!V75+Куйтежское!V75+Михайловское!V75+Коверское!V75+Коткозерское!V75</f>
        <v>0</v>
      </c>
      <c r="W75" s="300">
        <f>Олонецкое!V75+Туксинское!W75+'Ильинское '!W75+Видлицкое!W75+Мегрегское!W75+Куйтежское!W75+Михайловское!W75+Коверское!W75+Коткозерское!W75</f>
        <v>0</v>
      </c>
      <c r="X75" s="188">
        <f>Олонецкое!W75+Туксинское!X75+'Ильинское '!X75+Видлицкое!X75+Мегрегское!X75+Куйтежское!X75+Михайловское!X75+Коверское!X75+Коткозерское!X75</f>
        <v>0</v>
      </c>
      <c r="Y75" s="188">
        <f>Олонецкое!X75+Туксинское!Y75+'Ильинское '!Y75+Видлицкое!Y75+Мегрегское!Y75+Куйтежское!Y75+Михайловское!Y75+Коверское!Y75+Коткозерское!Y75</f>
        <v>0</v>
      </c>
      <c r="Z75" s="188">
        <f>Олонецкое!Y75+Туксинское!Z75+'Ильинское '!Z75+Видлицкое!Z75+Мегрегское!Z75+Куйтежское!Z75+Михайловское!Z75+Коверское!Z75+Коткозерское!Z75</f>
        <v>0</v>
      </c>
      <c r="AA75" s="300">
        <f>Олонецкое!Z75+Туксинское!AA75+'Ильинское '!AA75+Видлицкое!AA75+Мегрегское!AA75+Куйтежское!AA75+Михайловское!AA75+Коверское!AA75+Коткозерское!AA75</f>
        <v>0</v>
      </c>
      <c r="AB75" s="188">
        <f>Олонецкое!AA75+Туксинское!AB75+'Ильинское '!AB75+Видлицкое!AB75+Мегрегское!AB75+Куйтежское!AB75+Михайловское!AB75+Коверское!AB75+Коткозерское!AB75</f>
        <v>0</v>
      </c>
      <c r="AC75" s="188">
        <f>Олонецкое!AB75+Туксинское!AC75+'Ильинское '!AC75+Видлицкое!AC75+Мегрегское!AC75+Куйтежское!AC75+Михайловское!AC75+Коверское!AC75+Коткозерское!AC75</f>
        <v>0</v>
      </c>
      <c r="AD75" s="188">
        <f>Олонецкое!AC75+Туксинское!AD75+'Ильинское '!AD75+Видлицкое!AD75+Мегрегское!AD75+Куйтежское!AD75+Михайловское!AD75+Коверское!AD75+Коткозерское!AD75</f>
        <v>0</v>
      </c>
    </row>
    <row r="76" spans="1:30" ht="24.75" thickBot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190">
        <f>Олонецкое!K76+Туксинское!K76+'Ильинское '!K76+Видлицкое!K76+Мегрегское!K76+Куйтежское!K76+Михайловское!K76+Коверское!K76+Коткозерское!K76</f>
        <v>0</v>
      </c>
      <c r="L76" s="188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M76" s="188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N76" s="188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O76" s="300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P76" s="188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Q76" s="188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R76" s="188">
        <f>Олонецкое!Q76+Туксинское!R76+'Ильинское '!R76+Видлицкое!R76+Мегрегское!R76+Куйтежское!R76+Михайловское!R76+Коверское!R76+Коткозерское!R76</f>
        <v>0</v>
      </c>
      <c r="S76" s="300">
        <f>Олонецкое!R76+Туксинское!S76+'Ильинское '!S76+Видлицкое!S76+Мегрегское!S76+Куйтежское!S76+Михайловское!S76+Коверское!S76+Коткозерское!S76</f>
        <v>0</v>
      </c>
      <c r="T76" s="188">
        <f>Олонецкое!S76+Туксинское!T76+'Ильинское '!T76+Видлицкое!T76+Мегрегское!T76+Куйтежское!T76+Михайловское!T76+Коверское!T76+Коткозерское!T76</f>
        <v>0</v>
      </c>
      <c r="U76" s="188">
        <f>Олонецкое!T76+Туксинское!U76+'Ильинское '!U76+Видлицкое!U76+Мегрегское!U76+Куйтежское!U76+Михайловское!U76+Коверское!U76+Коткозерское!U76</f>
        <v>0</v>
      </c>
      <c r="V76" s="188">
        <f>Олонецкое!U76+Туксинское!V76+'Ильинское '!V76+Видлицкое!V76+Мегрегское!V76+Куйтежское!V76+Михайловское!V76+Коверское!V76+Коткозерское!V76</f>
        <v>0</v>
      </c>
      <c r="W76" s="300">
        <f>Олонецкое!V76+Туксинское!W76+'Ильинское '!W76+Видлицкое!W76+Мегрегское!W76+Куйтежское!W76+Михайловское!W76+Коверское!W76+Коткозерское!W76</f>
        <v>0</v>
      </c>
      <c r="X76" s="188">
        <f>Олонецкое!W76+Туксинское!X76+'Ильинское '!X76+Видлицкое!X76+Мегрегское!X76+Куйтежское!X76+Михайловское!X76+Коверское!X76+Коткозерское!X76</f>
        <v>0</v>
      </c>
      <c r="Y76" s="188">
        <f>Олонецкое!X76+Туксинское!Y76+'Ильинское '!Y76+Видлицкое!Y76+Мегрегское!Y76+Куйтежское!Y76+Михайловское!Y76+Коверское!Y76+Коткозерское!Y76</f>
        <v>0</v>
      </c>
      <c r="Z76" s="188">
        <f>Олонецкое!Y76+Туксинское!Z76+'Ильинское '!Z76+Видлицкое!Z76+Мегрегское!Z76+Куйтежское!Z76+Михайловское!Z76+Коверское!Z76+Коткозерское!Z76</f>
        <v>0</v>
      </c>
      <c r="AA76" s="300">
        <f>Олонецкое!Z76+Туксинское!AA76+'Ильинское '!AA76+Видлицкое!AA76+Мегрегское!AA76+Куйтежское!AA76+Михайловское!AA76+Коверское!AA76+Коткозерское!AA76</f>
        <v>0</v>
      </c>
      <c r="AB76" s="188">
        <f>Олонецкое!AA76+Туксинское!AB76+'Ильинское '!AB76+Видлицкое!AB76+Мегрегское!AB76+Куйтежское!AB76+Михайловское!AB76+Коверское!AB76+Коткозерское!AB76</f>
        <v>0</v>
      </c>
      <c r="AC76" s="188">
        <f>Олонецкое!AB76+Туксинское!AC76+'Ильинское '!AC76+Видлицкое!AC76+Мегрегское!AC76+Куйтежское!AC76+Михайловское!AC76+Коверское!AC76+Коткозерское!AC76</f>
        <v>0</v>
      </c>
      <c r="AD76" s="188">
        <f>Олонецкое!AC76+Туксинское!AD76+'Ильинское '!AD76+Видлицкое!AD76+Мегрегское!AD76+Куйтежское!AD76+Михайловское!AD76+Коверское!AD76+Коткозерское!AD76</f>
        <v>0</v>
      </c>
    </row>
    <row r="77" spans="1:30" ht="36.75" thickBot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190">
        <f>Олонецкое!K77+Туксинское!K77+'Ильинское '!K77+Видлицкое!K77+Мегрегское!K77+Куйтежское!K77+Михайловское!K77+Коверское!K77+Коткозерское!K77</f>
        <v>0</v>
      </c>
      <c r="L77" s="188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M77" s="188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N77" s="188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O77" s="300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P77" s="188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Q77" s="188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R77" s="188">
        <f>Олонецкое!Q77+Туксинское!R77+'Ильинское '!R77+Видлицкое!R77+Мегрегское!R77+Куйтежское!R77+Михайловское!R77+Коверское!R77+Коткозерское!R77</f>
        <v>0</v>
      </c>
      <c r="S77" s="300">
        <f>Олонецкое!R77+Туксинское!S77+'Ильинское '!S77+Видлицкое!S77+Мегрегское!S77+Куйтежское!S77+Михайловское!S77+Коверское!S77+Коткозерское!S77</f>
        <v>0</v>
      </c>
      <c r="T77" s="188">
        <f>Олонецкое!S77+Туксинское!T77+'Ильинское '!T77+Видлицкое!T77+Мегрегское!T77+Куйтежское!T77+Михайловское!T77+Коверское!T77+Коткозерское!T77</f>
        <v>0</v>
      </c>
      <c r="U77" s="188">
        <f>Олонецкое!T77+Туксинское!U77+'Ильинское '!U77+Видлицкое!U77+Мегрегское!U77+Куйтежское!U77+Михайловское!U77+Коверское!U77+Коткозерское!U77</f>
        <v>0</v>
      </c>
      <c r="V77" s="188">
        <f>Олонецкое!U77+Туксинское!V77+'Ильинское '!V77+Видлицкое!V77+Мегрегское!V77+Куйтежское!V77+Михайловское!V77+Коверское!V77+Коткозерское!V77</f>
        <v>0</v>
      </c>
      <c r="W77" s="300">
        <f>Олонецкое!V77+Туксинское!W77+'Ильинское '!W77+Видлицкое!W77+Мегрегское!W77+Куйтежское!W77+Михайловское!W77+Коверское!W77+Коткозерское!W77</f>
        <v>0</v>
      </c>
      <c r="X77" s="188">
        <f>Олонецкое!W77+Туксинское!X77+'Ильинское '!X77+Видлицкое!X77+Мегрегское!X77+Куйтежское!X77+Михайловское!X77+Коверское!X77+Коткозерское!X77</f>
        <v>0</v>
      </c>
      <c r="Y77" s="188">
        <f>Олонецкое!X77+Туксинское!Y77+'Ильинское '!Y77+Видлицкое!Y77+Мегрегское!Y77+Куйтежское!Y77+Михайловское!Y77+Коверское!Y77+Коткозерское!Y77</f>
        <v>0</v>
      </c>
      <c r="Z77" s="188">
        <f>Олонецкое!Y77+Туксинское!Z77+'Ильинское '!Z77+Видлицкое!Z77+Мегрегское!Z77+Куйтежское!Z77+Михайловское!Z77+Коверское!Z77+Коткозерское!Z77</f>
        <v>0</v>
      </c>
      <c r="AA77" s="300">
        <f>Олонецкое!Z77+Туксинское!AA77+'Ильинское '!AA77+Видлицкое!AA77+Мегрегское!AA77+Куйтежское!AA77+Михайловское!AA77+Коверское!AA77+Коткозерское!AA77</f>
        <v>0</v>
      </c>
      <c r="AB77" s="188">
        <f>Олонецкое!AA77+Туксинское!AB77+'Ильинское '!AB77+Видлицкое!AB77+Мегрегское!AB77+Куйтежское!AB77+Михайловское!AB77+Коверское!AB77+Коткозерское!AB77</f>
        <v>0</v>
      </c>
      <c r="AC77" s="188">
        <f>Олонецкое!AB77+Туксинское!AC77+'Ильинское '!AC77+Видлицкое!AC77+Мегрегское!AC77+Куйтежское!AC77+Михайловское!AC77+Коверское!AC77+Коткозерское!AC77</f>
        <v>0</v>
      </c>
      <c r="AD77" s="188">
        <f>Олонецкое!AC77+Туксинское!AD77+'Ильинское '!AD77+Видлицкое!AD77+Мегрегское!AD77+Куйтежское!AD77+Михайловское!AD77+Коверское!AD77+Коткозерское!AD77</f>
        <v>0</v>
      </c>
    </row>
    <row r="78" spans="1:30" ht="48.75" thickBot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190">
        <f>Олонецкое!K78+Туксинское!K78+'Ильинское '!K78+Видлицкое!K78+Мегрегское!K78+Куйтежское!K78+Михайловское!K78+Коверское!K78+Коткозерское!K78</f>
        <v>0</v>
      </c>
      <c r="L78" s="188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M78" s="188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N78" s="188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O78" s="300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P78" s="188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Q78" s="188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R78" s="188">
        <f>Олонецкое!Q78+Туксинское!R78+'Ильинское '!R78+Видлицкое!R78+Мегрегское!R78+Куйтежское!R78+Михайловское!R78+Коверское!R78+Коткозерское!R78</f>
        <v>0</v>
      </c>
      <c r="S78" s="300">
        <f>Олонецкое!R78+Туксинское!S78+'Ильинское '!S78+Видлицкое!S78+Мегрегское!S78+Куйтежское!S78+Михайловское!S78+Коверское!S78+Коткозерское!S78</f>
        <v>0</v>
      </c>
      <c r="T78" s="188">
        <f>Олонецкое!S78+Туксинское!T78+'Ильинское '!T78+Видлицкое!T78+Мегрегское!T78+Куйтежское!T78+Михайловское!T78+Коверское!T78+Коткозерское!T78</f>
        <v>0</v>
      </c>
      <c r="U78" s="188">
        <f>Олонецкое!T78+Туксинское!U78+'Ильинское '!U78+Видлицкое!U78+Мегрегское!U78+Куйтежское!U78+Михайловское!U78+Коверское!U78+Коткозерское!U78</f>
        <v>0</v>
      </c>
      <c r="V78" s="188">
        <f>Олонецкое!U78+Туксинское!V78+'Ильинское '!V78+Видлицкое!V78+Мегрегское!V78+Куйтежское!V78+Михайловское!V78+Коверское!V78+Коткозерское!V78</f>
        <v>0</v>
      </c>
      <c r="W78" s="300">
        <f>Олонецкое!V78+Туксинское!W78+'Ильинское '!W78+Видлицкое!W78+Мегрегское!W78+Куйтежское!W78+Михайловское!W78+Коверское!W78+Коткозерское!W78</f>
        <v>0</v>
      </c>
      <c r="X78" s="188">
        <f>Олонецкое!W78+Туксинское!X78+'Ильинское '!X78+Видлицкое!X78+Мегрегское!X78+Куйтежское!X78+Михайловское!X78+Коверское!X78+Коткозерское!X78</f>
        <v>0</v>
      </c>
      <c r="Y78" s="188">
        <f>Олонецкое!X78+Туксинское!Y78+'Ильинское '!Y78+Видлицкое!Y78+Мегрегское!Y78+Куйтежское!Y78+Михайловское!Y78+Коверское!Y78+Коткозерское!Y78</f>
        <v>0</v>
      </c>
      <c r="Z78" s="188">
        <f>Олонецкое!Y78+Туксинское!Z78+'Ильинское '!Z78+Видлицкое!Z78+Мегрегское!Z78+Куйтежское!Z78+Михайловское!Z78+Коверское!Z78+Коткозерское!Z78</f>
        <v>0</v>
      </c>
      <c r="AA78" s="300">
        <f>Олонецкое!Z78+Туксинское!AA78+'Ильинское '!AA78+Видлицкое!AA78+Мегрегское!AA78+Куйтежское!AA78+Михайловское!AA78+Коверское!AA78+Коткозерское!AA78</f>
        <v>0</v>
      </c>
      <c r="AB78" s="188">
        <f>Олонецкое!AA78+Туксинское!AB78+'Ильинское '!AB78+Видлицкое!AB78+Мегрегское!AB78+Куйтежское!AB78+Михайловское!AB78+Коверское!AB78+Коткозерское!AB78</f>
        <v>0</v>
      </c>
      <c r="AC78" s="188">
        <f>Олонецкое!AB78+Туксинское!AC78+'Ильинское '!AC78+Видлицкое!AC78+Мегрегское!AC78+Куйтежское!AC78+Михайловское!AC78+Коверское!AC78+Коткозерское!AC78</f>
        <v>0</v>
      </c>
      <c r="AD78" s="188">
        <f>Олонецкое!AC78+Туксинское!AD78+'Ильинское '!AD78+Видлицкое!AD78+Мегрегское!AD78+Куйтежское!AD78+Михайловское!AD78+Коверское!AD78+Коткозерское!AD78</f>
        <v>0</v>
      </c>
    </row>
    <row r="79" spans="1:30" ht="36.75" thickBot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190">
        <f>Олонецкое!K79+Туксинское!K79+'Ильинское '!K79+Видлицкое!K79+Мегрегское!K79+Куйтежское!K79+Михайловское!K79+Коверское!K79+Коткозерское!K79</f>
        <v>0</v>
      </c>
      <c r="L79" s="188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M79" s="188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N79" s="188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O79" s="300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P79" s="188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Q79" s="188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R79" s="188">
        <f>Олонецкое!Q79+Туксинское!R79+'Ильинское '!R79+Видлицкое!R79+Мегрегское!R79+Куйтежское!R79+Михайловское!R79+Коверское!R79+Коткозерское!R79</f>
        <v>0</v>
      </c>
      <c r="S79" s="300">
        <f>Олонецкое!R79+Туксинское!S79+'Ильинское '!S79+Видлицкое!S79+Мегрегское!S79+Куйтежское!S79+Михайловское!S79+Коверское!S79+Коткозерское!S79</f>
        <v>0</v>
      </c>
      <c r="T79" s="188">
        <f>Олонецкое!S79+Туксинское!T79+'Ильинское '!T79+Видлицкое!T79+Мегрегское!T79+Куйтежское!T79+Михайловское!T79+Коверское!T79+Коткозерское!T79</f>
        <v>0</v>
      </c>
      <c r="U79" s="188">
        <f>Олонецкое!T79+Туксинское!U79+'Ильинское '!U79+Видлицкое!U79+Мегрегское!U79+Куйтежское!U79+Михайловское!U79+Коверское!U79+Коткозерское!U79</f>
        <v>0</v>
      </c>
      <c r="V79" s="188">
        <f>Олонецкое!U79+Туксинское!V79+'Ильинское '!V79+Видлицкое!V79+Мегрегское!V79+Куйтежское!V79+Михайловское!V79+Коверское!V79+Коткозерское!V79</f>
        <v>0</v>
      </c>
      <c r="W79" s="300">
        <f>Олонецкое!V79+Туксинское!W79+'Ильинское '!W79+Видлицкое!W79+Мегрегское!W79+Куйтежское!W79+Михайловское!W79+Коверское!W79+Коткозерское!W79</f>
        <v>0</v>
      </c>
      <c r="X79" s="188">
        <f>Олонецкое!W79+Туксинское!X79+'Ильинское '!X79+Видлицкое!X79+Мегрегское!X79+Куйтежское!X79+Михайловское!X79+Коверское!X79+Коткозерское!X79</f>
        <v>0</v>
      </c>
      <c r="Y79" s="188">
        <f>Олонецкое!X79+Туксинское!Y79+'Ильинское '!Y79+Видлицкое!Y79+Мегрегское!Y79+Куйтежское!Y79+Михайловское!Y79+Коверское!Y79+Коткозерское!Y79</f>
        <v>0</v>
      </c>
      <c r="Z79" s="188">
        <f>Олонецкое!Y79+Туксинское!Z79+'Ильинское '!Z79+Видлицкое!Z79+Мегрегское!Z79+Куйтежское!Z79+Михайловское!Z79+Коверское!Z79+Коткозерское!Z79</f>
        <v>0</v>
      </c>
      <c r="AA79" s="300">
        <f>Олонецкое!Z79+Туксинское!AA79+'Ильинское '!AA79+Видлицкое!AA79+Мегрегское!AA79+Куйтежское!AA79+Михайловское!AA79+Коверское!AA79+Коткозерское!AA79</f>
        <v>0</v>
      </c>
      <c r="AB79" s="188">
        <f>Олонецкое!AA79+Туксинское!AB79+'Ильинское '!AB79+Видлицкое!AB79+Мегрегское!AB79+Куйтежское!AB79+Михайловское!AB79+Коверское!AB79+Коткозерское!AB79</f>
        <v>0</v>
      </c>
      <c r="AC79" s="188">
        <f>Олонецкое!AB79+Туксинское!AC79+'Ильинское '!AC79+Видлицкое!AC79+Мегрегское!AC79+Куйтежское!AC79+Михайловское!AC79+Коверское!AC79+Коткозерское!AC79</f>
        <v>0</v>
      </c>
      <c r="AD79" s="188">
        <f>Олонецкое!AC79+Туксинское!AD79+'Ильинское '!AD79+Видлицкое!AD79+Мегрегское!AD79+Куйтежское!AD79+Михайловское!AD79+Коверское!AD79+Коткозерское!AD79</f>
        <v>0</v>
      </c>
    </row>
    <row r="80" spans="1:30" ht="36.75" thickBot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190">
        <f>Олонецкое!K80+Туксинское!K80+'Ильинское '!K80+Видлицкое!K80+Мегрегское!K80+Куйтежское!K80+Михайловское!K80+Коверское!K80+Коткозерское!K80</f>
        <v>0</v>
      </c>
      <c r="L80" s="188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M80" s="188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N80" s="188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O80" s="300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P80" s="188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Q80" s="188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R80" s="188">
        <f>Олонецкое!Q80+Туксинское!R80+'Ильинское '!R80+Видлицкое!R80+Мегрегское!R80+Куйтежское!R80+Михайловское!R80+Коверское!R80+Коткозерское!R80</f>
        <v>0</v>
      </c>
      <c r="S80" s="300">
        <f>Олонецкое!R80+Туксинское!S80+'Ильинское '!S80+Видлицкое!S80+Мегрегское!S80+Куйтежское!S80+Михайловское!S80+Коверское!S80+Коткозерское!S80</f>
        <v>0</v>
      </c>
      <c r="T80" s="188">
        <f>Олонецкое!S80+Туксинское!T80+'Ильинское '!T80+Видлицкое!T80+Мегрегское!T80+Куйтежское!T80+Михайловское!T80+Коверское!T80+Коткозерское!T80</f>
        <v>0</v>
      </c>
      <c r="U80" s="188">
        <f>Олонецкое!T80+Туксинское!U80+'Ильинское '!U80+Видлицкое!U80+Мегрегское!U80+Куйтежское!U80+Михайловское!U80+Коверское!U80+Коткозерское!U80</f>
        <v>0</v>
      </c>
      <c r="V80" s="188">
        <f>Олонецкое!U80+Туксинское!V80+'Ильинское '!V80+Видлицкое!V80+Мегрегское!V80+Куйтежское!V80+Михайловское!V80+Коверское!V80+Коткозерское!V80</f>
        <v>0</v>
      </c>
      <c r="W80" s="300">
        <f>Олонецкое!V80+Туксинское!W80+'Ильинское '!W80+Видлицкое!W80+Мегрегское!W80+Куйтежское!W80+Михайловское!W80+Коверское!W80+Коткозерское!W80</f>
        <v>0</v>
      </c>
      <c r="X80" s="188">
        <f>Олонецкое!W80+Туксинское!X80+'Ильинское '!X80+Видлицкое!X80+Мегрегское!X80+Куйтежское!X80+Михайловское!X80+Коверское!X80+Коткозерское!X80</f>
        <v>0</v>
      </c>
      <c r="Y80" s="188">
        <f>Олонецкое!X80+Туксинское!Y80+'Ильинское '!Y80+Видлицкое!Y80+Мегрегское!Y80+Куйтежское!Y80+Михайловское!Y80+Коверское!Y80+Коткозерское!Y80</f>
        <v>0</v>
      </c>
      <c r="Z80" s="188">
        <f>Олонецкое!Y80+Туксинское!Z80+'Ильинское '!Z80+Видлицкое!Z80+Мегрегское!Z80+Куйтежское!Z80+Михайловское!Z80+Коверское!Z80+Коткозерское!Z80</f>
        <v>0</v>
      </c>
      <c r="AA80" s="300">
        <f>Олонецкое!Z80+Туксинское!AA80+'Ильинское '!AA80+Видлицкое!AA80+Мегрегское!AA80+Куйтежское!AA80+Михайловское!AA80+Коверское!AA80+Коткозерское!AA80</f>
        <v>0</v>
      </c>
      <c r="AB80" s="188">
        <f>Олонецкое!AA80+Туксинское!AB80+'Ильинское '!AB80+Видлицкое!AB80+Мегрегское!AB80+Куйтежское!AB80+Михайловское!AB80+Коверское!AB80+Коткозерское!AB80</f>
        <v>0</v>
      </c>
      <c r="AC80" s="188">
        <f>Олонецкое!AB80+Туксинское!AC80+'Ильинское '!AC80+Видлицкое!AC80+Мегрегское!AC80+Куйтежское!AC80+Михайловское!AC80+Коверское!AC80+Коткозерское!AC80</f>
        <v>0</v>
      </c>
      <c r="AD80" s="188">
        <f>Олонецкое!AC80+Туксинское!AD80+'Ильинское '!AD80+Видлицкое!AD80+Мегрегское!AD80+Куйтежское!AD80+Михайловское!AD80+Коверское!AD80+Коткозерское!AD80</f>
        <v>0</v>
      </c>
    </row>
    <row r="81" spans="1:30" ht="24.75" thickBot="1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190">
        <f>Олонецкое!K81+Туксинское!K81+'Ильинское '!K81+Видлицкое!K81+Мегрегское!K81+Куйтежское!K81+Михайловское!K81+Коверское!K81+Коткозерское!K81</f>
        <v>0</v>
      </c>
      <c r="L81" s="188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M81" s="188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N81" s="188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O81" s="300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P81" s="188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Q81" s="188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R81" s="188">
        <f>Олонецкое!Q81+Туксинское!R81+'Ильинское '!R81+Видлицкое!R81+Мегрегское!R81+Куйтежское!R81+Михайловское!R81+Коверское!R81+Коткозерское!R81</f>
        <v>0</v>
      </c>
      <c r="S81" s="300">
        <f>Олонецкое!R81+Туксинское!S81+'Ильинское '!S81+Видлицкое!S81+Мегрегское!S81+Куйтежское!S81+Михайловское!S81+Коверское!S81+Коткозерское!S81</f>
        <v>0</v>
      </c>
      <c r="T81" s="188">
        <f>Олонецкое!S81+Туксинское!T81+'Ильинское '!T81+Видлицкое!T81+Мегрегское!T81+Куйтежское!T81+Михайловское!T81+Коверское!T81+Коткозерское!T81</f>
        <v>0</v>
      </c>
      <c r="U81" s="188">
        <f>Олонецкое!T81+Туксинское!U81+'Ильинское '!U81+Видлицкое!U81+Мегрегское!U81+Куйтежское!U81+Михайловское!U81+Коверское!U81+Коткозерское!U81</f>
        <v>0</v>
      </c>
      <c r="V81" s="188">
        <f>Олонецкое!U81+Туксинское!V81+'Ильинское '!V81+Видлицкое!V81+Мегрегское!V81+Куйтежское!V81+Михайловское!V81+Коверское!V81+Коткозерское!V81</f>
        <v>0</v>
      </c>
      <c r="W81" s="300">
        <f>Олонецкое!V81+Туксинское!W81+'Ильинское '!W81+Видлицкое!W81+Мегрегское!W81+Куйтежское!W81+Михайловское!W81+Коверское!W81+Коткозерское!W81</f>
        <v>0</v>
      </c>
      <c r="X81" s="188">
        <f>Олонецкое!W81+Туксинское!X81+'Ильинское '!X81+Видлицкое!X81+Мегрегское!X81+Куйтежское!X81+Михайловское!X81+Коверское!X81+Коткозерское!X81</f>
        <v>0</v>
      </c>
      <c r="Y81" s="188">
        <f>Олонецкое!X81+Туксинское!Y81+'Ильинское '!Y81+Видлицкое!Y81+Мегрегское!Y81+Куйтежское!Y81+Михайловское!Y81+Коверское!Y81+Коткозерское!Y81</f>
        <v>0</v>
      </c>
      <c r="Z81" s="188">
        <f>Олонецкое!Y81+Туксинское!Z81+'Ильинское '!Z81+Видлицкое!Z81+Мегрегское!Z81+Куйтежское!Z81+Михайловское!Z81+Коверское!Z81+Коткозерское!Z81</f>
        <v>0</v>
      </c>
      <c r="AA81" s="300">
        <f>Олонецкое!Z81+Туксинское!AA81+'Ильинское '!AA81+Видлицкое!AA81+Мегрегское!AA81+Куйтежское!AA81+Михайловское!AA81+Коверское!AA81+Коткозерское!AA81</f>
        <v>0</v>
      </c>
      <c r="AB81" s="188">
        <f>Олонецкое!AA81+Туксинское!AB81+'Ильинское '!AB81+Видлицкое!AB81+Мегрегское!AB81+Куйтежское!AB81+Михайловское!AB81+Коверское!AB81+Коткозерское!AB81</f>
        <v>0</v>
      </c>
      <c r="AC81" s="188">
        <f>Олонецкое!AB81+Туксинское!AC81+'Ильинское '!AC81+Видлицкое!AC81+Мегрегское!AC81+Куйтежское!AC81+Михайловское!AC81+Коверское!AC81+Коткозерское!AC81</f>
        <v>0</v>
      </c>
      <c r="AD81" s="188">
        <f>Олонецкое!AC81+Туксинское!AD81+'Ильинское '!AD81+Видлицкое!AD81+Мегрегское!AD81+Куйтежское!AD81+Михайловское!AD81+Коверское!AD81+Коткозерское!AD81</f>
        <v>0</v>
      </c>
    </row>
    <row r="82" spans="1:30" ht="13.5" thickBot="1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190">
        <f>Олонецкое!K82+Туксинское!K82+'Ильинское '!K82+Видлицкое!K82+Мегрегское!K82+Куйтежское!K82+Михайловское!K82+Коверское!K82+Коткозерское!K82</f>
        <v>0</v>
      </c>
      <c r="L82" s="188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M82" s="188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N82" s="188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O82" s="300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P82" s="188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Q82" s="188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R82" s="188">
        <f>Олонецкое!Q82+Туксинское!R82+'Ильинское '!R82+Видлицкое!R82+Мегрегское!R82+Куйтежское!R82+Михайловское!R82+Коверское!R82+Коткозерское!R82</f>
        <v>0</v>
      </c>
      <c r="S82" s="300">
        <f>Олонецкое!R82+Туксинское!S82+'Ильинское '!S82+Видлицкое!S82+Мегрегское!S82+Куйтежское!S82+Михайловское!S82+Коверское!S82+Коткозерское!S82</f>
        <v>0</v>
      </c>
      <c r="T82" s="188">
        <f>Олонецкое!S82+Туксинское!T82+'Ильинское '!T82+Видлицкое!T82+Мегрегское!T82+Куйтежское!T82+Михайловское!T82+Коверское!T82+Коткозерское!T82</f>
        <v>0</v>
      </c>
      <c r="U82" s="188">
        <f>Олонецкое!T82+Туксинское!U82+'Ильинское '!U82+Видлицкое!U82+Мегрегское!U82+Куйтежское!U82+Михайловское!U82+Коверское!U82+Коткозерское!U82</f>
        <v>0</v>
      </c>
      <c r="V82" s="188">
        <f>Олонецкое!U82+Туксинское!V82+'Ильинское '!V82+Видлицкое!V82+Мегрегское!V82+Куйтежское!V82+Михайловское!V82+Коверское!V82+Коткозерское!V82</f>
        <v>0</v>
      </c>
      <c r="W82" s="300">
        <f>Олонецкое!V82+Туксинское!W82+'Ильинское '!W82+Видлицкое!W82+Мегрегское!W82+Куйтежское!W82+Михайловское!W82+Коверское!W82+Коткозерское!W82</f>
        <v>0</v>
      </c>
      <c r="X82" s="188">
        <f>Олонецкое!W82+Туксинское!X82+'Ильинское '!X82+Видлицкое!X82+Мегрегское!X82+Куйтежское!X82+Михайловское!X82+Коверское!X82+Коткозерское!X82</f>
        <v>0</v>
      </c>
      <c r="Y82" s="188">
        <f>Олонецкое!X82+Туксинское!Y82+'Ильинское '!Y82+Видлицкое!Y82+Мегрегское!Y82+Куйтежское!Y82+Михайловское!Y82+Коверское!Y82+Коткозерское!Y82</f>
        <v>0</v>
      </c>
      <c r="Z82" s="188">
        <f>Олонецкое!Y82+Туксинское!Z82+'Ильинское '!Z82+Видлицкое!Z82+Мегрегское!Z82+Куйтежское!Z82+Михайловское!Z82+Коверское!Z82+Коткозерское!Z82</f>
        <v>0</v>
      </c>
      <c r="AA82" s="300">
        <f>Олонецкое!Z82+Туксинское!AA82+'Ильинское '!AA82+Видлицкое!AA82+Мегрегское!AA82+Куйтежское!AA82+Михайловское!AA82+Коверское!AA82+Коткозерское!AA82</f>
        <v>0</v>
      </c>
      <c r="AB82" s="188">
        <f>Олонецкое!AA82+Туксинское!AB82+'Ильинское '!AB82+Видлицкое!AB82+Мегрегское!AB82+Куйтежское!AB82+Михайловское!AB82+Коверское!AB82+Коткозерское!AB82</f>
        <v>0</v>
      </c>
      <c r="AC82" s="188">
        <f>Олонецкое!AB82+Туксинское!AC82+'Ильинское '!AC82+Видлицкое!AC82+Мегрегское!AC82+Куйтежское!AC82+Михайловское!AC82+Коверское!AC82+Коткозерское!AC82</f>
        <v>0</v>
      </c>
      <c r="AD82" s="188">
        <f>Олонецкое!AC82+Туксинское!AD82+'Ильинское '!AD82+Видлицкое!AD82+Мегрегское!AD82+Куйтежское!AD82+Михайловское!AD82+Коверское!AD82+Коткозерское!AD82</f>
        <v>0</v>
      </c>
    </row>
    <row r="83" spans="1:30" ht="13.5" thickBot="1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189">
        <f>Олонецкое!K83+Туксинское!K83+'Ильинское '!K83+Видлицкое!K83+Мегрегское!K83+Куйтежское!K83+Михайловское!K83+Коверское!K83+Коткозерское!K83</f>
        <v>0</v>
      </c>
      <c r="L83" s="188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M83" s="188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N83" s="188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O83" s="300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P83" s="188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Q83" s="188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R83" s="188">
        <f>Олонецкое!Q83+Туксинское!R83+'Ильинское '!R83+Видлицкое!R83+Мегрегское!R83+Куйтежское!R83+Михайловское!R83+Коверское!R83+Коткозерское!R83</f>
        <v>0</v>
      </c>
      <c r="S83" s="300">
        <f>Олонецкое!R83+Туксинское!S83+'Ильинское '!S83+Видлицкое!S83+Мегрегское!S83+Куйтежское!S83+Михайловское!S83+Коверское!S83+Коткозерское!S83</f>
        <v>0</v>
      </c>
      <c r="T83" s="188">
        <f>Олонецкое!S83+Туксинское!T83+'Ильинское '!T83+Видлицкое!T83+Мегрегское!T83+Куйтежское!T83+Михайловское!T83+Коверское!T83+Коткозерское!T83</f>
        <v>0</v>
      </c>
      <c r="U83" s="188">
        <f>Олонецкое!T83+Туксинское!U83+'Ильинское '!U83+Видлицкое!U83+Мегрегское!U83+Куйтежское!U83+Михайловское!U83+Коверское!U83+Коткозерское!U83</f>
        <v>0</v>
      </c>
      <c r="V83" s="188">
        <f>Олонецкое!U83+Туксинское!V83+'Ильинское '!V83+Видлицкое!V83+Мегрегское!V83+Куйтежское!V83+Михайловское!V83+Коверское!V83+Коткозерское!V83</f>
        <v>0</v>
      </c>
      <c r="W83" s="300">
        <f>Олонецкое!V83+Туксинское!W83+'Ильинское '!W83+Видлицкое!W83+Мегрегское!W83+Куйтежское!W83+Михайловское!W83+Коверское!W83+Коткозерское!W83</f>
        <v>0</v>
      </c>
      <c r="X83" s="188">
        <f>Олонецкое!W83+Туксинское!X83+'Ильинское '!X83+Видлицкое!X83+Мегрегское!X83+Куйтежское!X83+Михайловское!X83+Коверское!X83+Коткозерское!X83</f>
        <v>0</v>
      </c>
      <c r="Y83" s="188">
        <f>Олонецкое!X83+Туксинское!Y83+'Ильинское '!Y83+Видлицкое!Y83+Мегрегское!Y83+Куйтежское!Y83+Михайловское!Y83+Коверское!Y83+Коткозерское!Y83</f>
        <v>0</v>
      </c>
      <c r="Z83" s="188">
        <f>Олонецкое!Y83+Туксинское!Z83+'Ильинское '!Z83+Видлицкое!Z83+Мегрегское!Z83+Куйтежское!Z83+Михайловское!Z83+Коверское!Z83+Коткозерское!Z83</f>
        <v>0</v>
      </c>
      <c r="AA83" s="300">
        <f>Олонецкое!Z83+Туксинское!AA83+'Ильинское '!AA83+Видлицкое!AA83+Мегрегское!AA83+Куйтежское!AA83+Михайловское!AA83+Коверское!AA83+Коткозерское!AA83</f>
        <v>0</v>
      </c>
      <c r="AB83" s="188">
        <f>Олонецкое!AA83+Туксинское!AB83+'Ильинское '!AB83+Видлицкое!AB83+Мегрегское!AB83+Куйтежское!AB83+Михайловское!AB83+Коверское!AB83+Коткозерское!AB83</f>
        <v>0</v>
      </c>
      <c r="AC83" s="188">
        <f>Олонецкое!AB83+Туксинское!AC83+'Ильинское '!AC83+Видлицкое!AC83+Мегрегское!AC83+Куйтежское!AC83+Михайловское!AC83+Коверское!AC83+Коткозерское!AC83</f>
        <v>0</v>
      </c>
      <c r="AD83" s="188">
        <f>Олонецкое!AC83+Туксинское!AD83+'Ильинское '!AD83+Видлицкое!AD83+Мегрегское!AD83+Куйтежское!AD83+Михайловское!AD83+Коверское!AD83+Коткозерское!AD83</f>
        <v>0</v>
      </c>
    </row>
    <row r="84" spans="1:30" ht="13.5" thickBot="1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189"/>
      <c r="L84" s="188"/>
      <c r="M84" s="188"/>
      <c r="N84" s="188"/>
      <c r="O84" s="300"/>
      <c r="P84" s="188"/>
      <c r="Q84" s="188"/>
      <c r="R84" s="188"/>
      <c r="S84" s="300"/>
      <c r="T84" s="188"/>
      <c r="U84" s="188"/>
      <c r="V84" s="188"/>
      <c r="W84" s="300"/>
      <c r="X84" s="188"/>
      <c r="Y84" s="188"/>
      <c r="Z84" s="188"/>
      <c r="AA84" s="300"/>
      <c r="AB84" s="188"/>
      <c r="AC84" s="188"/>
      <c r="AD84" s="188"/>
    </row>
    <row r="85" spans="1:30" ht="13.5" thickBot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190">
        <f>Олонецкое!K85+Туксинское!K85+'Ильинское '!K85+Видлицкое!K85+Мегрегское!K85+Куйтежское!K85+Михайловское!K85+Коверское!K85+Коткозерское!K85</f>
        <v>0</v>
      </c>
      <c r="L85" s="188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M85" s="188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N85" s="188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O85" s="300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P85" s="188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Q85" s="188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R85" s="188">
        <f>Олонецкое!Q85+Туксинское!R85+'Ильинское '!R85+Видлицкое!R85+Мегрегское!R85+Куйтежское!R85+Михайловское!R85+Коверское!R85+Коткозерское!R85</f>
        <v>0</v>
      </c>
      <c r="S85" s="300">
        <f>Олонецкое!R85+Туксинское!S85+'Ильинское '!S85+Видлицкое!S85+Мегрегское!S85+Куйтежское!S85+Михайловское!S85+Коверское!S85+Коткозерское!S85</f>
        <v>0</v>
      </c>
      <c r="T85" s="188">
        <f>Олонецкое!S85+Туксинское!T85+'Ильинское '!T85+Видлицкое!T85+Мегрегское!T85+Куйтежское!T85+Михайловское!T85+Коверское!T85+Коткозерское!T85</f>
        <v>0</v>
      </c>
      <c r="U85" s="188">
        <f>Олонецкое!T85+Туксинское!U85+'Ильинское '!U85+Видлицкое!U85+Мегрегское!U85+Куйтежское!U85+Михайловское!U85+Коверское!U85+Коткозерское!U85</f>
        <v>0</v>
      </c>
      <c r="V85" s="188">
        <f>Олонецкое!U85+Туксинское!V85+'Ильинское '!V85+Видлицкое!V85+Мегрегское!V85+Куйтежское!V85+Михайловское!V85+Коверское!V85+Коткозерское!V85</f>
        <v>0</v>
      </c>
      <c r="W85" s="300">
        <f>Олонецкое!V85+Туксинское!W85+'Ильинское '!W85+Видлицкое!W85+Мегрегское!W85+Куйтежское!W85+Михайловское!W85+Коверское!W85+Коткозерское!W85</f>
        <v>0</v>
      </c>
      <c r="X85" s="188">
        <f>Олонецкое!W85+Туксинское!X85+'Ильинское '!X85+Видлицкое!X85+Мегрегское!X85+Куйтежское!X85+Михайловское!X85+Коверское!X85+Коткозерское!X85</f>
        <v>0</v>
      </c>
      <c r="Y85" s="188">
        <f>Олонецкое!X85+Туксинское!Y85+'Ильинское '!Y85+Видлицкое!Y85+Мегрегское!Y85+Куйтежское!Y85+Михайловское!Y85+Коверское!Y85+Коткозерское!Y85</f>
        <v>0</v>
      </c>
      <c r="Z85" s="188">
        <f>Олонецкое!Y85+Туксинское!Z85+'Ильинское '!Z85+Видлицкое!Z85+Мегрегское!Z85+Куйтежское!Z85+Михайловское!Z85+Коверское!Z85+Коткозерское!Z85</f>
        <v>0</v>
      </c>
      <c r="AA85" s="300">
        <f>Олонецкое!Z85+Туксинское!AA85+'Ильинское '!AA85+Видлицкое!AA85+Мегрегское!AA85+Куйтежское!AA85+Михайловское!AA85+Коверское!AA85+Коткозерское!AA85</f>
        <v>0</v>
      </c>
      <c r="AB85" s="188">
        <f>Олонецкое!AA85+Туксинское!AB85+'Ильинское '!AB85+Видлицкое!AB85+Мегрегское!AB85+Куйтежское!AB85+Михайловское!AB85+Коверское!AB85+Коткозерское!AB85</f>
        <v>0</v>
      </c>
      <c r="AC85" s="188">
        <f>Олонецкое!AB85+Туксинское!AC85+'Ильинское '!AC85+Видлицкое!AC85+Мегрегское!AC85+Куйтежское!AC85+Михайловское!AC85+Коверское!AC85+Коткозерское!AC85</f>
        <v>0</v>
      </c>
      <c r="AD85" s="188">
        <f>Олонецкое!AC85+Туксинское!AD85+'Ильинское '!AD85+Видлицкое!AD85+Мегрегское!AD85+Куйтежское!AD85+Михайловское!AD85+Коверское!AD85+Коткозерское!AD85</f>
        <v>0</v>
      </c>
    </row>
    <row r="86" spans="1:30" ht="13.5" thickBot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190">
        <f>Олонецкое!K86+Туксинское!K86+'Ильинское '!K86+Видлицкое!K86+Мегрегское!K86+Куйтежское!K86+Михайловское!K86+Коверское!K86+Коткозерское!K86</f>
        <v>0</v>
      </c>
      <c r="L86" s="188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M86" s="188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N86" s="188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O86" s="300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P86" s="188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Q86" s="188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R86" s="188">
        <f>Олонецкое!Q86+Туксинское!R86+'Ильинское '!R86+Видлицкое!R86+Мегрегское!R86+Куйтежское!R86+Михайловское!R86+Коверское!R86+Коткозерское!R86</f>
        <v>0</v>
      </c>
      <c r="S86" s="300">
        <f>Олонецкое!R86+Туксинское!S86+'Ильинское '!S86+Видлицкое!S86+Мегрегское!S86+Куйтежское!S86+Михайловское!S86+Коверское!S86+Коткозерское!S86</f>
        <v>0</v>
      </c>
      <c r="T86" s="188">
        <f>Олонецкое!S86+Туксинское!T86+'Ильинское '!T86+Видлицкое!T86+Мегрегское!T86+Куйтежское!T86+Михайловское!T86+Коверское!T86+Коткозерское!T86</f>
        <v>0</v>
      </c>
      <c r="U86" s="188">
        <f>Олонецкое!T86+Туксинское!U86+'Ильинское '!U86+Видлицкое!U86+Мегрегское!U86+Куйтежское!U86+Михайловское!U86+Коверское!U86+Коткозерское!U86</f>
        <v>0</v>
      </c>
      <c r="V86" s="188">
        <f>Олонецкое!U86+Туксинское!V86+'Ильинское '!V86+Видлицкое!V86+Мегрегское!V86+Куйтежское!V86+Михайловское!V86+Коверское!V86+Коткозерское!V86</f>
        <v>0</v>
      </c>
      <c r="W86" s="300">
        <f>Олонецкое!V86+Туксинское!W86+'Ильинское '!W86+Видлицкое!W86+Мегрегское!W86+Куйтежское!W86+Михайловское!W86+Коверское!W86+Коткозерское!W86</f>
        <v>0</v>
      </c>
      <c r="X86" s="188">
        <f>Олонецкое!W86+Туксинское!X86+'Ильинское '!X86+Видлицкое!X86+Мегрегское!X86+Куйтежское!X86+Михайловское!X86+Коверское!X86+Коткозерское!X86</f>
        <v>0</v>
      </c>
      <c r="Y86" s="188">
        <f>Олонецкое!X86+Туксинское!Y86+'Ильинское '!Y86+Видлицкое!Y86+Мегрегское!Y86+Куйтежское!Y86+Михайловское!Y86+Коверское!Y86+Коткозерское!Y86</f>
        <v>0</v>
      </c>
      <c r="Z86" s="188">
        <f>Олонецкое!Y86+Туксинское!Z86+'Ильинское '!Z86+Видлицкое!Z86+Мегрегское!Z86+Куйтежское!Z86+Михайловское!Z86+Коверское!Z86+Коткозерское!Z86</f>
        <v>0</v>
      </c>
      <c r="AA86" s="300">
        <f>Олонецкое!Z86+Туксинское!AA86+'Ильинское '!AA86+Видлицкое!AA86+Мегрегское!AA86+Куйтежское!AA86+Михайловское!AA86+Коверское!AA86+Коткозерское!AA86</f>
        <v>0</v>
      </c>
      <c r="AB86" s="188">
        <f>Олонецкое!AA86+Туксинское!AB86+'Ильинское '!AB86+Видлицкое!AB86+Мегрегское!AB86+Куйтежское!AB86+Михайловское!AB86+Коверское!AB86+Коткозерское!AB86</f>
        <v>0</v>
      </c>
      <c r="AC86" s="188">
        <f>Олонецкое!AB86+Туксинское!AC86+'Ильинское '!AC86+Видлицкое!AC86+Мегрегское!AC86+Куйтежское!AC86+Михайловское!AC86+Коверское!AC86+Коткозерское!AC86</f>
        <v>0</v>
      </c>
      <c r="AD86" s="188">
        <f>Олонецкое!AC86+Туксинское!AD86+'Ильинское '!AD86+Видлицкое!AD86+Мегрегское!AD86+Куйтежское!AD86+Михайловское!AD86+Коверское!AD86+Коткозерское!AD86</f>
        <v>0</v>
      </c>
    </row>
    <row r="87" spans="1:30" ht="13.5" thickBot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190">
        <f>Олонецкое!K87+Туксинское!K87+'Ильинское '!K87+Видлицкое!K87+Мегрегское!K87+Куйтежское!K87+Михайловское!K87+Коверское!K87+Коткозерское!K87</f>
        <v>0</v>
      </c>
      <c r="L87" s="188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M87" s="188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N87" s="188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O87" s="300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P87" s="188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Q87" s="188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R87" s="188">
        <f>Олонецкое!Q87+Туксинское!R87+'Ильинское '!R87+Видлицкое!R87+Мегрегское!R87+Куйтежское!R87+Михайловское!R87+Коверское!R87+Коткозерское!R87</f>
        <v>0</v>
      </c>
      <c r="S87" s="300">
        <f>Олонецкое!R87+Туксинское!S87+'Ильинское '!S87+Видлицкое!S87+Мегрегское!S87+Куйтежское!S87+Михайловское!S87+Коверское!S87+Коткозерское!S87</f>
        <v>0</v>
      </c>
      <c r="T87" s="188">
        <f>Олонецкое!S87+Туксинское!T87+'Ильинское '!T87+Видлицкое!T87+Мегрегское!T87+Куйтежское!T87+Михайловское!T87+Коверское!T87+Коткозерское!T87</f>
        <v>0</v>
      </c>
      <c r="U87" s="188">
        <f>Олонецкое!T87+Туксинское!U87+'Ильинское '!U87+Видлицкое!U87+Мегрегское!U87+Куйтежское!U87+Михайловское!U87+Коверское!U87+Коткозерское!U87</f>
        <v>0</v>
      </c>
      <c r="V87" s="188">
        <f>Олонецкое!U87+Туксинское!V87+'Ильинское '!V87+Видлицкое!V87+Мегрегское!V87+Куйтежское!V87+Михайловское!V87+Коверское!V87+Коткозерское!V87</f>
        <v>0</v>
      </c>
      <c r="W87" s="300">
        <f>Олонецкое!V87+Туксинское!W87+'Ильинское '!W87+Видлицкое!W87+Мегрегское!W87+Куйтежское!W87+Михайловское!W87+Коверское!W87+Коткозерское!W87</f>
        <v>0</v>
      </c>
      <c r="X87" s="188">
        <f>Олонецкое!W87+Туксинское!X87+'Ильинское '!X87+Видлицкое!X87+Мегрегское!X87+Куйтежское!X87+Михайловское!X87+Коверское!X87+Коткозерское!X87</f>
        <v>0</v>
      </c>
      <c r="Y87" s="188">
        <f>Олонецкое!X87+Туксинское!Y87+'Ильинское '!Y87+Видлицкое!Y87+Мегрегское!Y87+Куйтежское!Y87+Михайловское!Y87+Коверское!Y87+Коткозерское!Y87</f>
        <v>0</v>
      </c>
      <c r="Z87" s="188">
        <f>Олонецкое!Y87+Туксинское!Z87+'Ильинское '!Z87+Видлицкое!Z87+Мегрегское!Z87+Куйтежское!Z87+Михайловское!Z87+Коверское!Z87+Коткозерское!Z87</f>
        <v>0</v>
      </c>
      <c r="AA87" s="300">
        <f>Олонецкое!Z87+Туксинское!AA87+'Ильинское '!AA87+Видлицкое!AA87+Мегрегское!AA87+Куйтежское!AA87+Михайловское!AA87+Коверское!AA87+Коткозерское!AA87</f>
        <v>0</v>
      </c>
      <c r="AB87" s="188">
        <f>Олонецкое!AA87+Туксинское!AB87+'Ильинское '!AB87+Видлицкое!AB87+Мегрегское!AB87+Куйтежское!AB87+Михайловское!AB87+Коверское!AB87+Коткозерское!AB87</f>
        <v>0</v>
      </c>
      <c r="AC87" s="188">
        <f>Олонецкое!AB87+Туксинское!AC87+'Ильинское '!AC87+Видлицкое!AC87+Мегрегское!AC87+Куйтежское!AC87+Михайловское!AC87+Коверское!AC87+Коткозерское!AC87</f>
        <v>0</v>
      </c>
      <c r="AD87" s="188">
        <f>Олонецкое!AC87+Туксинское!AD87+'Ильинское '!AD87+Видлицкое!AD87+Мегрегское!AD87+Куйтежское!AD87+Михайловское!AD87+Коверское!AD87+Коткозерское!AD87</f>
        <v>0</v>
      </c>
    </row>
    <row r="88" spans="1:30" ht="13.5" thickBot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190">
        <f>Олонецкое!K88+Туксинское!K88+'Ильинское '!K88+Видлицкое!K88+Мегрегское!K88+Куйтежское!K88+Михайловское!K88+Коверское!K88+Коткозерское!K88</f>
        <v>0</v>
      </c>
      <c r="L88" s="188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M88" s="188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N88" s="188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O88" s="300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P88" s="188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Q88" s="188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R88" s="188">
        <f>Олонецкое!Q88+Туксинское!R88+'Ильинское '!R88+Видлицкое!R88+Мегрегское!R88+Куйтежское!R88+Михайловское!R88+Коверское!R88+Коткозерское!R88</f>
        <v>0</v>
      </c>
      <c r="S88" s="300">
        <f>Олонецкое!R88+Туксинское!S88+'Ильинское '!S88+Видлицкое!S88+Мегрегское!S88+Куйтежское!S88+Михайловское!S88+Коверское!S88+Коткозерское!S88</f>
        <v>0</v>
      </c>
      <c r="T88" s="188">
        <f>Олонецкое!S88+Туксинское!T88+'Ильинское '!T88+Видлицкое!T88+Мегрегское!T88+Куйтежское!T88+Михайловское!T88+Коверское!T88+Коткозерское!T88</f>
        <v>0</v>
      </c>
      <c r="U88" s="188">
        <f>Олонецкое!T88+Туксинское!U88+'Ильинское '!U88+Видлицкое!U88+Мегрегское!U88+Куйтежское!U88+Михайловское!U88+Коверское!U88+Коткозерское!U88</f>
        <v>0</v>
      </c>
      <c r="V88" s="188">
        <f>Олонецкое!U88+Туксинское!V88+'Ильинское '!V88+Видлицкое!V88+Мегрегское!V88+Куйтежское!V88+Михайловское!V88+Коверское!V88+Коткозерское!V88</f>
        <v>0</v>
      </c>
      <c r="W88" s="300">
        <f>Олонецкое!V88+Туксинское!W88+'Ильинское '!W88+Видлицкое!W88+Мегрегское!W88+Куйтежское!W88+Михайловское!W88+Коверское!W88+Коткозерское!W88</f>
        <v>0</v>
      </c>
      <c r="X88" s="188">
        <f>Олонецкое!W88+Туксинское!X88+'Ильинское '!X88+Видлицкое!X88+Мегрегское!X88+Куйтежское!X88+Михайловское!X88+Коверское!X88+Коткозерское!X88</f>
        <v>0</v>
      </c>
      <c r="Y88" s="188">
        <f>Олонецкое!X88+Туксинское!Y88+'Ильинское '!Y88+Видлицкое!Y88+Мегрегское!Y88+Куйтежское!Y88+Михайловское!Y88+Коверское!Y88+Коткозерское!Y88</f>
        <v>0</v>
      </c>
      <c r="Z88" s="188">
        <f>Олонецкое!Y88+Туксинское!Z88+'Ильинское '!Z88+Видлицкое!Z88+Мегрегское!Z88+Куйтежское!Z88+Михайловское!Z88+Коверское!Z88+Коткозерское!Z88</f>
        <v>0</v>
      </c>
      <c r="AA88" s="300">
        <f>Олонецкое!Z88+Туксинское!AA88+'Ильинское '!AA88+Видлицкое!AA88+Мегрегское!AA88+Куйтежское!AA88+Михайловское!AA88+Коверское!AA88+Коткозерское!AA88</f>
        <v>0</v>
      </c>
      <c r="AB88" s="188">
        <f>Олонецкое!AA88+Туксинское!AB88+'Ильинское '!AB88+Видлицкое!AB88+Мегрегское!AB88+Куйтежское!AB88+Михайловское!AB88+Коверское!AB88+Коткозерское!AB88</f>
        <v>0</v>
      </c>
      <c r="AC88" s="188">
        <f>Олонецкое!AB88+Туксинское!AC88+'Ильинское '!AC88+Видлицкое!AC88+Мегрегское!AC88+Куйтежское!AC88+Михайловское!AC88+Коверское!AC88+Коткозерское!AC88</f>
        <v>0</v>
      </c>
      <c r="AD88" s="188">
        <f>Олонецкое!AC88+Туксинское!AD88+'Ильинское '!AD88+Видлицкое!AD88+Мегрегское!AD88+Куйтежское!AD88+Михайловское!AD88+Коверское!AD88+Коткозерское!AD88</f>
        <v>0</v>
      </c>
    </row>
    <row r="89" spans="1:30" ht="13.5" thickBot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203">
        <f>Олонецкое!K89+Туксинское!K89+'Ильинское '!K89+Видлицкое!K89+Мегрегское!K89+Куйтежское!K89+Михайловское!K89+Коверское!K89+Коткозерское!K89</f>
        <v>0</v>
      </c>
      <c r="L89" s="188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M89" s="188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N89" s="188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O89" s="300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P89" s="188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Q89" s="188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R89" s="188">
        <f>Олонецкое!Q89+Туксинское!R89+'Ильинское '!R89+Видлицкое!R89+Мегрегское!R89+Куйтежское!R89+Михайловское!R89+Коверское!R89+Коткозерское!R89</f>
        <v>0</v>
      </c>
      <c r="S89" s="300">
        <f>Олонецкое!R89+Туксинское!S89+'Ильинское '!S89+Видлицкое!S89+Мегрегское!S89+Куйтежское!S89+Михайловское!S89+Коверское!S89+Коткозерское!S89</f>
        <v>0</v>
      </c>
      <c r="T89" s="188">
        <f>Олонецкое!S89+Туксинское!T89+'Ильинское '!T89+Видлицкое!T89+Мегрегское!T89+Куйтежское!T89+Михайловское!T89+Коверское!T89+Коткозерское!T89</f>
        <v>0</v>
      </c>
      <c r="U89" s="188">
        <f>Олонецкое!T89+Туксинское!U89+'Ильинское '!U89+Видлицкое!U89+Мегрегское!U89+Куйтежское!U89+Михайловское!U89+Коверское!U89+Коткозерское!U89</f>
        <v>0</v>
      </c>
      <c r="V89" s="188">
        <f>Олонецкое!U89+Туксинское!V89+'Ильинское '!V89+Видлицкое!V89+Мегрегское!V89+Куйтежское!V89+Михайловское!V89+Коверское!V89+Коткозерское!V89</f>
        <v>0</v>
      </c>
      <c r="W89" s="300">
        <f>Олонецкое!V89+Туксинское!W89+'Ильинское '!W89+Видлицкое!W89+Мегрегское!W89+Куйтежское!W89+Михайловское!W89+Коверское!W89+Коткозерское!W89</f>
        <v>0</v>
      </c>
      <c r="X89" s="188">
        <f>Олонецкое!W89+Туксинское!X89+'Ильинское '!X89+Видлицкое!X89+Мегрегское!X89+Куйтежское!X89+Михайловское!X89+Коверское!X89+Коткозерское!X89</f>
        <v>0</v>
      </c>
      <c r="Y89" s="188">
        <f>Олонецкое!X89+Туксинское!Y89+'Ильинское '!Y89+Видлицкое!Y89+Мегрегское!Y89+Куйтежское!Y89+Михайловское!Y89+Коверское!Y89+Коткозерское!Y89</f>
        <v>0</v>
      </c>
      <c r="Z89" s="188">
        <f>Олонецкое!Y89+Туксинское!Z89+'Ильинское '!Z89+Видлицкое!Z89+Мегрегское!Z89+Куйтежское!Z89+Михайловское!Z89+Коверское!Z89+Коткозерское!Z89</f>
        <v>0</v>
      </c>
      <c r="AA89" s="300">
        <f>Олонецкое!Z89+Туксинское!AA89+'Ильинское '!AA89+Видлицкое!AA89+Мегрегское!AA89+Куйтежское!AA89+Михайловское!AA89+Коверское!AA89+Коткозерское!AA89</f>
        <v>0</v>
      </c>
      <c r="AB89" s="188">
        <f>Олонецкое!AA89+Туксинское!AB89+'Ильинское '!AB89+Видлицкое!AB89+Мегрегское!AB89+Куйтежское!AB89+Михайловское!AB89+Коверское!AB89+Коткозерское!AB89</f>
        <v>0</v>
      </c>
      <c r="AC89" s="188">
        <f>Олонецкое!AB89+Туксинское!AC89+'Ильинское '!AC89+Видлицкое!AC89+Мегрегское!AC89+Куйтежское!AC89+Михайловское!AC89+Коверское!AC89+Коткозерское!AC89</f>
        <v>0</v>
      </c>
      <c r="AD89" s="188">
        <f>Олонецкое!AC89+Туксинское!AD89+'Ильинское '!AD89+Видлицкое!AD89+Мегрегское!AD89+Куйтежское!AD89+Михайловское!AD89+Коверское!AD89+Коткозерское!AD89</f>
        <v>0</v>
      </c>
    </row>
    <row r="90" spans="1:30" ht="48.75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204">
        <f>Олонецкое!K90+Туксинское!K90+'Ильинское '!K90+Видлицкое!K90+Мегрегское!K90+Куйтежское!K90+Михайловское!K90+Коверское!K90+Коткозерское!K90</f>
        <v>112</v>
      </c>
      <c r="L90" s="188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M90" s="188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N90" s="188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O90" s="300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P90" s="188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Q90" s="188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R90" s="188">
        <f>Олонецкое!Q90+Туксинское!R90+'Ильинское '!R90+Видлицкое!R90+Мегрегское!R90+Куйтежское!R90+Михайловское!R90+Коверское!R90+Коткозерское!R90</f>
        <v>9.5</v>
      </c>
      <c r="S90" s="300">
        <f>Олонецкое!R90+Туксинское!S90+'Ильинское '!S90+Видлицкое!S90+Мегрегское!S90+Куйтежское!S90+Михайловское!S90+Коверское!S90+Коткозерское!S90</f>
        <v>28.5</v>
      </c>
      <c r="T90" s="188">
        <f>Олонецкое!S90+Туксинское!T90+'Ильинское '!T90+Видлицкое!T90+Мегрегское!T90+Куйтежское!T90+Михайловское!T90+Коверское!T90+Коткозерское!T90</f>
        <v>9.5</v>
      </c>
      <c r="U90" s="188">
        <f>Олонецкое!T90+Туксинское!U90+'Ильинское '!U90+Видлицкое!U90+Мегрегское!U90+Куйтежское!U90+Михайловское!U90+Коверское!U90+Коткозерское!U90</f>
        <v>8</v>
      </c>
      <c r="V90" s="188">
        <f>Олонецкое!U90+Туксинское!V90+'Ильинское '!V90+Видлицкое!V90+Мегрегское!V90+Куйтежское!V90+Михайловское!V90+Коверское!V90+Коткозерское!V90</f>
        <v>11</v>
      </c>
      <c r="W90" s="300">
        <f>Олонецкое!V90+Туксинское!W90+'Ильинское '!W90+Видлицкое!W90+Мегрегское!W90+Куйтежское!W90+Михайловское!W90+Коверское!W90+Коткозерское!W90</f>
        <v>29.5</v>
      </c>
      <c r="X90" s="188">
        <f>Олонецкое!W90+Туксинское!X90+'Ильинское '!X90+Видлицкое!X90+Мегрегское!X90+Куйтежское!X90+Михайловское!X90+Коверское!X90+Коткозерское!X90</f>
        <v>8</v>
      </c>
      <c r="Y90" s="188">
        <f>Олонецкое!X90+Туксинское!Y90+'Ильинское '!Y90+Видлицкое!Y90+Мегрегское!Y90+Куйтежское!Y90+Михайловское!Y90+Коверское!Y90+Коткозерское!Y90</f>
        <v>8.5</v>
      </c>
      <c r="Z90" s="188">
        <f>Олонецкое!Y90+Туксинское!Z90+'Ильинское '!Z90+Видлицкое!Z90+Мегрегское!Z90+Куйтежское!Z90+Михайловское!Z90+Коверское!Z90+Коткозерское!Z90</f>
        <v>13</v>
      </c>
      <c r="AA90" s="300">
        <f>Олонецкое!Z90+Туксинское!AA90+'Ильинское '!AA90+Видлицкое!AA90+Мегрегское!AA90+Куйтежское!AA90+Михайловское!AA90+Коверское!AA90+Коткозерское!AA90</f>
        <v>28</v>
      </c>
      <c r="AB90" s="188">
        <f>Олонецкое!AA90+Туксинское!AB90+'Ильинское '!AB90+Видлицкое!AB90+Мегрегское!AB90+Куйтежское!AB90+Михайловское!AB90+Коверское!AB90+Коткозерское!AB90</f>
        <v>8.5</v>
      </c>
      <c r="AC90" s="188">
        <f>Олонецкое!AB90+Туксинское!AC90+'Ильинское '!AC90+Видлицкое!AC90+Мегрегское!AC90+Куйтежское!AC90+Михайловское!AC90+Коверское!AC90+Коткозерское!AC90</f>
        <v>8.5</v>
      </c>
      <c r="AD90" s="188">
        <f>Олонецкое!AC90+Туксинское!AD90+'Ильинское '!AD90+Видлицкое!AD90+Мегрегское!AD90+Куйтежское!AD90+Михайловское!AD90+Коверское!AD90+Коткозерское!AD90</f>
        <v>11</v>
      </c>
    </row>
    <row r="91" spans="1:30" ht="33.75" customHeight="1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205">
        <f>Олонецкое!K91+Туксинское!K91+'Ильинское '!K91+Видлицкое!K91+Мегрегское!K91+Куйтежское!K91+Михайловское!K91+Коверское!K91+Коткозерское!K91</f>
        <v>0</v>
      </c>
      <c r="L91" s="188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M91" s="188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N91" s="188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O91" s="300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P91" s="188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Q91" s="188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R91" s="188">
        <f>Олонецкое!Q91+Туксинское!R91+'Ильинское '!R91+Видлицкое!R91+Мегрегское!R91+Куйтежское!R91+Михайловское!R91+Коверское!R91+Коткозерское!R91</f>
        <v>0</v>
      </c>
      <c r="S91" s="300">
        <f>Олонецкое!R91+Туксинское!S91+'Ильинское '!S91+Видлицкое!S91+Мегрегское!S91+Куйтежское!S91+Михайловское!S91+Коверское!S91+Коткозерское!S91</f>
        <v>0</v>
      </c>
      <c r="T91" s="188">
        <f>Олонецкое!S91+Туксинское!T91+'Ильинское '!T91+Видлицкое!T91+Мегрегское!T91+Куйтежское!T91+Михайловское!T91+Коверское!T91+Коткозерское!T91</f>
        <v>0</v>
      </c>
      <c r="U91" s="188">
        <f>Олонецкое!T91+Туксинское!U91+'Ильинское '!U91+Видлицкое!U91+Мегрегское!U91+Куйтежское!U91+Михайловское!U91+Коверское!U91+Коткозерское!U91</f>
        <v>0</v>
      </c>
      <c r="V91" s="188">
        <f>Олонецкое!U91+Туксинское!V91+'Ильинское '!V91+Видлицкое!V91+Мегрегское!V91+Куйтежское!V91+Михайловское!V91+Коверское!V91+Коткозерское!V91</f>
        <v>0</v>
      </c>
      <c r="W91" s="300">
        <f>Олонецкое!V91+Туксинское!W91+'Ильинское '!W91+Видлицкое!W91+Мегрегское!W91+Куйтежское!W91+Михайловское!W91+Коверское!W91+Коткозерское!W91</f>
        <v>0</v>
      </c>
      <c r="X91" s="188">
        <f>Олонецкое!W91+Туксинское!X91+'Ильинское '!X91+Видлицкое!X91+Мегрегское!X91+Куйтежское!X91+Михайловское!X91+Коверское!X91+Коткозерское!X91</f>
        <v>0</v>
      </c>
      <c r="Y91" s="188">
        <f>Олонецкое!X91+Туксинское!Y91+'Ильинское '!Y91+Видлицкое!Y91+Мегрегское!Y91+Куйтежское!Y91+Михайловское!Y91+Коверское!Y91+Коткозерское!Y91</f>
        <v>0</v>
      </c>
      <c r="Z91" s="188">
        <f>Олонецкое!Y91+Туксинское!Z91+'Ильинское '!Z91+Видлицкое!Z91+Мегрегское!Z91+Куйтежское!Z91+Михайловское!Z91+Коверское!Z91+Коткозерское!Z91</f>
        <v>0</v>
      </c>
      <c r="AA91" s="300">
        <f>Олонецкое!Z91+Туксинское!AA91+'Ильинское '!AA91+Видлицкое!AA91+Мегрегское!AA91+Куйтежское!AA91+Михайловское!AA91+Коверское!AA91+Коткозерское!AA91</f>
        <v>0</v>
      </c>
      <c r="AB91" s="188">
        <f>Олонецкое!AA91+Туксинское!AB91+'Ильинское '!AB91+Видлицкое!AB91+Мегрегское!AB91+Куйтежское!AB91+Михайловское!AB91+Коверское!AB91+Коткозерское!AB91</f>
        <v>0</v>
      </c>
      <c r="AC91" s="188">
        <f>Олонецкое!AB91+Туксинское!AC91+'Ильинское '!AC91+Видлицкое!AC91+Мегрегское!AC91+Куйтежское!AC91+Михайловское!AC91+Коверское!AC91+Коткозерское!AC91</f>
        <v>0</v>
      </c>
      <c r="AD91" s="188">
        <f>Олонецкое!AC91+Туксинское!AD91+'Ильинское '!AD91+Видлицкое!AD91+Мегрегское!AD91+Куйтежское!AD91+Михайловское!AD91+Коверское!AD91+Коткозерское!AD91</f>
        <v>0</v>
      </c>
    </row>
    <row r="92" spans="1:31" ht="26.25" thickBot="1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191">
        <f>Олонецкое!K92+Туксинское!K92+'Ильинское '!K92+Видлицкое!K92+Мегрегское!K92+Куйтежское!K92+Михайловское!K92+Коверское!K92+Коткозерское!K92</f>
        <v>481.2</v>
      </c>
      <c r="L92" s="188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M92" s="188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N92" s="188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O92" s="300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P92" s="188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Q92" s="188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R92" s="188">
        <f>Олонецкое!Q92+Туксинское!R92+'Ильинское '!R92+Видлицкое!R92+Мегрегское!R92+Куйтежское!R92+Михайловское!R92+Коверское!R92+Коткозерское!R92</f>
        <v>42</v>
      </c>
      <c r="S92" s="300">
        <f>Олонецкое!R92+Туксинское!S92+'Ильинское '!S92+Видлицкое!S92+Мегрегское!S92+Куйтежское!S92+Михайловское!S92+Коверское!S92+Коткозерское!S92</f>
        <v>118.5</v>
      </c>
      <c r="T92" s="188">
        <f>Олонецкое!S92+Туксинское!T92+'Ильинское '!T92+Видлицкое!T92+Мегрегское!T92+Куйтежское!T92+Михайловское!T92+Коверское!T92+Коткозерское!T92</f>
        <v>33.5</v>
      </c>
      <c r="U92" s="188">
        <f>Олонецкое!T92+Туксинское!U92+'Ильинское '!U92+Видлицкое!U92+Мегрегское!U92+Куйтежское!U92+Михайловское!U92+Коверское!U92+Коткозерское!U92</f>
        <v>35.5</v>
      </c>
      <c r="V92" s="188">
        <f>Олонецкое!U92+Туксинское!V92+'Ильинское '!V92+Видлицкое!V92+Мегрегское!V92+Куйтежское!V92+Михайловское!V92+Коверское!V92+Коткозерское!V92</f>
        <v>49.5</v>
      </c>
      <c r="W92" s="300">
        <f>Олонецкое!V92+Туксинское!W92+'Ильинское '!W92+Видлицкое!W92+Мегрегское!W92+Куйтежское!W92+Михайловское!W92+Коверское!W92+Коткозерское!W92</f>
        <v>140.2</v>
      </c>
      <c r="X92" s="188">
        <f>Олонецкое!W92+Туксинское!X92+'Ильинское '!X92+Видлицкое!X92+Мегрегское!X92+Куйтежское!X92+Михайловское!X92+Коверское!X92+Коткозерское!X92</f>
        <v>44</v>
      </c>
      <c r="Y92" s="188">
        <f>Олонецкое!X92+Туксинское!Y92+'Ильинское '!Y92+Видлицкое!Y92+Мегрегское!Y92+Куйтежское!Y92+Михайловское!Y92+Коверское!Y92+Коткозерское!Y92</f>
        <v>37.5</v>
      </c>
      <c r="Z92" s="188">
        <f>Олонецкое!Y92+Туксинское!Z92+'Ильинское '!Z92+Видлицкое!Z92+Мегрегское!Z92+Куйтежское!Z92+Михайловское!Z92+Коверское!Z92+Коткозерское!Z92</f>
        <v>58.7</v>
      </c>
      <c r="AA92" s="300">
        <f>Олонецкое!Z92+Туксинское!AA92+'Ильинское '!AA92+Видлицкое!AA92+Мегрегское!AA92+Куйтежское!AA92+Михайловское!AA92+Коверское!AA92+Коткозерское!AA92</f>
        <v>108.5</v>
      </c>
      <c r="AB92" s="188">
        <f>Олонецкое!AA92+Туксинское!AB92+'Ильинское '!AB92+Видлицкое!AB92+Мегрегское!AB92+Куйтежское!AB92+Михайловское!AB92+Коверское!AB92+Коткозерское!AB92</f>
        <v>31.5</v>
      </c>
      <c r="AC92" s="188">
        <f>Олонецкое!AB92+Туксинское!AC92+'Ильинское '!AC92+Видлицкое!AC92+Мегрегское!AC92+Куйтежское!AC92+Михайловское!AC92+Коверское!AC92+Коткозерское!AC92</f>
        <v>36.7</v>
      </c>
      <c r="AD92" s="188">
        <f>Олонецкое!AC92+Туксинское!AD92+'Ильинское '!AD92+Видлицкое!AD92+Мегрегское!AD92+Куйтежское!AD92+Михайловское!AD92+Коверское!AD92+Коткозерское!AD92</f>
        <v>39.5</v>
      </c>
      <c r="AE92">
        <f aca="true" t="shared" si="0" ref="AE92:AE97">AA92+W92+S92+O92</f>
        <v>481.2</v>
      </c>
    </row>
    <row r="93" spans="1:31" ht="13.5" thickBot="1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206">
        <f>Олонецкое!K93+Туксинское!K93+'Ильинское '!K93+Видлицкое!K93+Мегрегское!K93+Куйтежское!K93+Михайловское!K93+Коверское!K93+Коткозерское!K93</f>
        <v>378</v>
      </c>
      <c r="L93" s="188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M93" s="188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N93" s="188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O93" s="300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P93" s="188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Q93" s="188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R93" s="188">
        <f>Олонецкое!Q93+Туксинское!R93+'Ильинское '!R93+Видлицкое!R93+Мегрегское!R93+Куйтежское!R93+Михайловское!R93+Коверское!R93+Коткозерское!R93</f>
        <v>31.5</v>
      </c>
      <c r="S93" s="300">
        <f>Олонецкое!R93+Туксинское!S93+'Ильинское '!S93+Видлицкое!S93+Мегрегское!S93+Куйтежское!S93+Михайловское!S93+Коверское!S93+Коткозерское!S93</f>
        <v>98</v>
      </c>
      <c r="T93" s="188">
        <f>Олонецкое!S93+Туксинское!T93+'Ильинское '!T93+Видлицкое!T93+Мегрегское!T93+Куйтежское!T93+Михайловское!T93+Коверское!T93+Коткозерское!T93</f>
        <v>29</v>
      </c>
      <c r="U93" s="188">
        <f>Олонецкое!T93+Туксинское!U93+'Ильинское '!U93+Видлицкое!U93+Мегрегское!U93+Куйтежское!U93+Михайловское!U93+Коверское!U93+Коткозерское!U93</f>
        <v>30.5</v>
      </c>
      <c r="V93" s="188">
        <f>Олонецкое!U93+Туксинское!V93+'Ильинское '!V93+Видлицкое!V93+Мегрегское!V93+Куйтежское!V93+Михайловское!V93+Коверское!V93+Коткозерское!V93</f>
        <v>38.5</v>
      </c>
      <c r="W93" s="300">
        <f>Олонецкое!V93+Туксинское!W93+'Ильинское '!W93+Видлицкое!W93+Мегрегское!W93+Куйтежское!W93+Михайловское!W93+Коверское!W93+Коткозерское!W93</f>
        <v>91</v>
      </c>
      <c r="X93" s="188">
        <f>Олонецкое!W93+Туксинское!X93+'Ильинское '!X93+Видлицкое!X93+Мегрегское!X93+Куйтежское!X93+Михайловское!X93+Коверское!X93+Коткозерское!X93</f>
        <v>27.5</v>
      </c>
      <c r="Y93" s="188">
        <f>Олонецкое!X93+Туксинское!Y93+'Ильинское '!Y93+Видлицкое!Y93+Мегрегское!Y93+Куйтежское!Y93+Михайловское!Y93+Коверское!Y93+Коткозерское!Y93</f>
        <v>31.5</v>
      </c>
      <c r="Z93" s="188">
        <f>Олонецкое!Y93+Туксинское!Z93+'Ильинское '!Z93+Видлицкое!Z93+Мегрегское!Z93+Куйтежское!Z93+Михайловское!Z93+Коверское!Z93+Коткозерское!Z93</f>
        <v>32</v>
      </c>
      <c r="AA93" s="300">
        <f>Олонецкое!Z93+Туксинское!AA93+'Ильинское '!AA93+Видлицкое!AA93+Мегрегское!AA93+Куйтежское!AA93+Михайловское!AA93+Коверское!AA93+Коткозерское!AA93</f>
        <v>89</v>
      </c>
      <c r="AB93" s="188">
        <f>Олонецкое!AA93+Туксинское!AB93+'Ильинское '!AB93+Видлицкое!AB93+Мегрегское!AB93+Куйтежское!AB93+Михайловское!AB93+Коверское!AB93+Коткозерское!AB93</f>
        <v>26.5</v>
      </c>
      <c r="AC93" s="188">
        <f>Олонецкое!AB93+Туксинское!AC93+'Ильинское '!AC93+Видлицкое!AC93+Мегрегское!AC93+Куйтежское!AC93+Михайловское!AC93+Коверское!AC93+Коткозерское!AC93</f>
        <v>30</v>
      </c>
      <c r="AD93" s="188">
        <f>Олонецкое!AC93+Туксинское!AD93+'Ильинское '!AD93+Видлицкое!AD93+Мегрегское!AD93+Куйтежское!AD93+Михайловское!AD93+Коверское!AD93+Коткозерское!AD93</f>
        <v>31.5</v>
      </c>
      <c r="AE93">
        <f t="shared" si="0"/>
        <v>378</v>
      </c>
    </row>
    <row r="94" spans="1:31" ht="24.75" thickBo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200">
        <f>Олонецкое!K94+Туксинское!K94+'Ильинское '!K94+Видлицкое!K94+Мегрегское!K94+Куйтежское!K94+Михайловское!K94+Коверское!K94+Коткозерское!K94</f>
        <v>378</v>
      </c>
      <c r="L94" s="188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M94" s="188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N94" s="188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O94" s="300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P94" s="188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Q94" s="188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R94" s="188">
        <f>Олонецкое!Q94+Туксинское!R94+'Ильинское '!R94+Видлицкое!R94+Мегрегское!R94+Куйтежское!R94+Михайловское!R94+Коверское!R94+Коткозерское!R94</f>
        <v>36.5</v>
      </c>
      <c r="S94" s="300">
        <f>Олонецкое!R94+Туксинское!S94+'Ильинское '!S94+Видлицкое!S94+Мегрегское!S94+Куйтежское!S94+Михайловское!S94+Коверское!S94+Коткозерское!S94</f>
        <v>98</v>
      </c>
      <c r="T94" s="188">
        <f>Олонецкое!S94+Туксинское!T94+'Ильинское '!T94+Видлицкое!T94+Мегрегское!T94+Куйтежское!T94+Михайловское!T94+Коверское!T94+Коткозерское!T94</f>
        <v>29</v>
      </c>
      <c r="U94" s="188">
        <f>Олонецкое!T94+Туксинское!U94+'Ильинское '!U94+Видлицкое!U94+Мегрегское!U94+Куйтежское!U94+Михайловское!U94+Коверское!U94+Коткозерское!U94</f>
        <v>30.5</v>
      </c>
      <c r="V94" s="188">
        <f>Олонецкое!U94+Туксинское!V94+'Ильинское '!V94+Видлицкое!V94+Мегрегское!V94+Куйтежское!V94+Михайловское!V94+Коверское!V94+Коткозерское!V94</f>
        <v>38.5</v>
      </c>
      <c r="W94" s="300">
        <f>Олонецкое!V94+Туксинское!W94+'Ильинское '!W94+Видлицкое!W94+Мегрегское!W94+Куйтежское!W94+Михайловское!W94+Коверское!W94+Коткозерское!W94</f>
        <v>91</v>
      </c>
      <c r="X94" s="188">
        <f>Олонецкое!W94+Туксинское!X94+'Ильинское '!X94+Видлицкое!X94+Мегрегское!X94+Куйтежское!X94+Михайловское!X94+Коверское!X94+Коткозерское!X94</f>
        <v>27.5</v>
      </c>
      <c r="Y94" s="188">
        <f>Олонецкое!X94+Туксинское!Y94+'Ильинское '!Y94+Видлицкое!Y94+Мегрегское!Y94+Куйтежское!Y94+Михайловское!Y94+Коверское!Y94+Коткозерское!Y94</f>
        <v>31.5</v>
      </c>
      <c r="Z94" s="188">
        <f>Олонецкое!Y94+Туксинское!Z94+'Ильинское '!Z94+Видлицкое!Z94+Мегрегское!Z94+Куйтежское!Z94+Михайловское!Z94+Коверское!Z94+Коткозерское!Z94</f>
        <v>32</v>
      </c>
      <c r="AA94" s="300">
        <f>Олонецкое!Z94+Туксинское!AA94+'Ильинское '!AA94+Видлицкое!AA94+Мегрегское!AA94+Куйтежское!AA94+Михайловское!AA94+Коверское!AA94+Коткозерское!AA94</f>
        <v>89</v>
      </c>
      <c r="AB94" s="188">
        <f>Олонецкое!AA94+Туксинское!AB94+'Ильинское '!AB94+Видлицкое!AB94+Мегрегское!AB94+Куйтежское!AB94+Михайловское!AB94+Коверское!AB94+Коткозерское!AB94</f>
        <v>26.5</v>
      </c>
      <c r="AC94" s="188">
        <f>Олонецкое!AB94+Туксинское!AC94+'Ильинское '!AC94+Видлицкое!AC94+Мегрегское!AC94+Куйтежское!AC94+Михайловское!AC94+Коверское!AC94+Коткозерское!AC94</f>
        <v>30</v>
      </c>
      <c r="AD94" s="188">
        <f>Олонецкое!AC94+Туксинское!AD94+'Ильинское '!AD94+Видлицкое!AD94+Мегрегское!AD94+Куйтежское!AD94+Михайловское!AD94+Коверское!AD94+Коткозерское!AD94</f>
        <v>31.5</v>
      </c>
      <c r="AE94">
        <f t="shared" si="0"/>
        <v>378</v>
      </c>
    </row>
    <row r="95" spans="1:31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206">
        <f>Олонецкое!K95+Туксинское!K95+'Ильинское '!K95+Видлицкое!K95+Мегрегское!K95+Куйтежское!K95+Михайловское!K95+Коверское!K95+Коткозерское!K95</f>
        <v>103.2</v>
      </c>
      <c r="L95" s="188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M95" s="188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N95" s="188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O95" s="300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P95" s="188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Q95" s="188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R95" s="188">
        <f>Олонецкое!Q95+Туксинское!R95+'Ильинское '!R95+Видлицкое!R95+Мегрегское!R95+Куйтежское!R95+Михайловское!R95+Коверское!R95+Коткозерское!R95</f>
        <v>5.5</v>
      </c>
      <c r="S95" s="300">
        <f>Олонецкое!R95+Туксинское!S95+'Ильинское '!S95+Видлицкое!S95+Мегрегское!S95+Куйтежское!S95+Михайловское!S95+Коверское!S95+Коткозерское!S95</f>
        <v>20.5</v>
      </c>
      <c r="T95" s="188">
        <f>Олонецкое!S95+Туксинское!T95+'Ильинское '!T95+Видлицкое!T95+Мегрегское!T95+Куйтежское!T95+Михайловское!T95+Коверское!T95+Коткозерское!T95</f>
        <v>4.5</v>
      </c>
      <c r="U95" s="188">
        <f>Олонецкое!T95+Туксинское!U95+'Ильинское '!U95+Видлицкое!U95+Мегрегское!U95+Куйтежское!U95+Михайловское!U95+Коверское!U95+Коткозерское!U95</f>
        <v>5</v>
      </c>
      <c r="V95" s="188">
        <f>Олонецкое!U95+Туксинское!V95+'Ильинское '!V95+Видлицкое!V95+Мегрегское!V95+Куйтежское!V95+Михайловское!V95+Коверское!V95+Коткозерское!V95</f>
        <v>11</v>
      </c>
      <c r="W95" s="300">
        <f>Олонецкое!V95+Туксинское!W95+'Ильинское '!W95+Видлицкое!W95+Мегрегское!W95+Куйтежское!W95+Михайловское!W95+Коверское!W95+Коткозерское!W95</f>
        <v>49.2</v>
      </c>
      <c r="X95" s="188">
        <f>Олонецкое!W95+Туксинское!X95+'Ильинское '!X95+Видлицкое!X95+Мегрегское!X95+Куйтежское!X95+Михайловское!X95+Коверское!X95+Коткозерское!X95</f>
        <v>16.5</v>
      </c>
      <c r="Y95" s="188">
        <f>Олонецкое!X95+Туксинское!Y95+'Ильинское '!Y95+Видлицкое!Y95+Мегрегское!Y95+Куйтежское!Y95+Михайловское!Y95+Коверское!Y95+Коткозерское!Y95</f>
        <v>6</v>
      </c>
      <c r="Z95" s="188">
        <f>Олонецкое!Y95+Туксинское!Z95+'Ильинское '!Z95+Видлицкое!Z95+Мегрегское!Z95+Куйтежское!Z95+Михайловское!Z95+Коверское!Z95+Коткозерское!Z95</f>
        <v>26.7</v>
      </c>
      <c r="AA95" s="300">
        <f>Олонецкое!Z95+Туксинское!AA95+'Ильинское '!AA95+Видлицкое!AA95+Мегрегское!AA95+Куйтежское!AA95+Михайловское!AA95+Коверское!AA95+Коткозерское!AA95</f>
        <v>19.5</v>
      </c>
      <c r="AB95" s="188">
        <f>Олонецкое!AA95+Туксинское!AB95+'Ильинское '!AB95+Видлицкое!AB95+Мегрегское!AB95+Куйтежское!AB95+Михайловское!AB95+Коверское!AB95+Коткозерское!AB95</f>
        <v>5</v>
      </c>
      <c r="AC95" s="188">
        <f>Олонецкое!AB95+Туксинское!AC95+'Ильинское '!AC95+Видлицкое!AC95+Мегрегское!AC95+Куйтежское!AC95+Михайловское!AC95+Коверское!AC95+Коткозерское!AC95</f>
        <v>6.7</v>
      </c>
      <c r="AD95" s="188">
        <f>Олонецкое!AC95+Туксинское!AD95+'Ильинское '!AD95+Видлицкое!AD95+Мегрегское!AD95+Куйтежское!AD95+Михайловское!AD95+Коверское!AD95+Коткозерское!AD95</f>
        <v>8</v>
      </c>
      <c r="AE95">
        <f t="shared" si="0"/>
        <v>103.2</v>
      </c>
    </row>
    <row r="96" spans="1:31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201">
        <f>Олонецкое!K96+Туксинское!K96+'Ильинское '!K96+Видлицкое!K96+Мегрегское!K96+Куйтежское!K96+Михайловское!K96+Коверское!K96+Коткозерское!K96</f>
        <v>103</v>
      </c>
      <c r="L96" s="188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M96" s="188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N96" s="188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O96" s="300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P96" s="188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Q96" s="188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R96" s="188">
        <f>Олонецкое!Q96+Туксинское!R96+'Ильинское '!R96+Видлицкое!R96+Мегрегское!R96+Куйтежское!R96+Михайловское!R96+Коверское!R96+Коткозерское!R96</f>
        <v>5.5</v>
      </c>
      <c r="S96" s="300">
        <f>Олонецкое!R96+Туксинское!S96+'Ильинское '!S96+Видлицкое!S96+Мегрегское!S96+Куйтежское!S96+Михайловское!S96+Коверское!S96+Коткозерское!S96</f>
        <v>20.5</v>
      </c>
      <c r="T96" s="188">
        <f>Олонецкое!S96+Туксинское!T96+'Ильинское '!T96+Видлицкое!T96+Мегрегское!T96+Куйтежское!T96+Михайловское!T96+Коверское!T96+Коткозерское!T96</f>
        <v>4.5</v>
      </c>
      <c r="U96" s="188">
        <f>Олонецкое!T96+Туксинское!U96+'Ильинское '!U96+Видлицкое!U96+Мегрегское!U96+Куйтежское!U96+Михайловское!U96+Коверское!U96+Коткозерское!U96</f>
        <v>5</v>
      </c>
      <c r="V96" s="188">
        <f>Олонецкое!U96+Туксинское!V96+'Ильинское '!V96+Видлицкое!V96+Мегрегское!V96+Куйтежское!V96+Михайловское!V96+Коверское!V96+Коткозерское!V96</f>
        <v>11</v>
      </c>
      <c r="W96" s="300">
        <f>Олонецкое!V96+Туксинское!W96+'Ильинское '!W96+Видлицкое!W96+Мегрегское!W96+Куйтежское!W96+Михайловское!W96+Коверское!W96+Коткозерское!W96</f>
        <v>49</v>
      </c>
      <c r="X96" s="188">
        <f>Олонецкое!W96+Туксинское!X96+'Ильинское '!X96+Видлицкое!X96+Мегрегское!X96+Куйтежское!X96+Михайловское!X96+Коверское!X96+Коткозерское!X96</f>
        <v>16.5</v>
      </c>
      <c r="Y96" s="188">
        <f>Олонецкое!X96+Туксинское!Y96+'Ильинское '!Y96+Видлицкое!Y96+Мегрегское!Y96+Куйтежское!Y96+Михайловское!Y96+Коверское!Y96+Коткозерское!Y96</f>
        <v>6</v>
      </c>
      <c r="Z96" s="188">
        <f>Олонецкое!Y96+Туксинское!Z96+'Ильинское '!Z96+Видлицкое!Z96+Мегрегское!Z96+Куйтежское!Z96+Михайловское!Z96+Коверское!Z96+Коткозерское!Z96</f>
        <v>26.5</v>
      </c>
      <c r="AA96" s="300">
        <f>Олонецкое!Z96+Туксинское!AA96+'Ильинское '!AA96+Видлицкое!AA96+Мегрегское!AA96+Куйтежское!AA96+Михайловское!AA96+Коверское!AA96+Коткозерское!AA96</f>
        <v>19.5</v>
      </c>
      <c r="AB96" s="188">
        <f>Олонецкое!AA96+Туксинское!AB96+'Ильинское '!AB96+Видлицкое!AB96+Мегрегское!AB96+Куйтежское!AB96+Михайловское!AB96+Коверское!AB96+Коткозерское!AB96</f>
        <v>5</v>
      </c>
      <c r="AC96" s="188">
        <f>Олонецкое!AB96+Туксинское!AC96+'Ильинское '!AC96+Видлицкое!AC96+Мегрегское!AC96+Куйтежское!AC96+Михайловское!AC96+Коверское!AC96+Коткозерское!AC96</f>
        <v>6.7</v>
      </c>
      <c r="AD96" s="188">
        <f>Олонецкое!AC96+Туксинское!AD96+'Ильинское '!AD96+Видлицкое!AD96+Мегрегское!AD96+Куйтежское!AD96+Михайловское!AD96+Коверское!AD96+Коткозерское!AD96</f>
        <v>8</v>
      </c>
      <c r="AE96">
        <f t="shared" si="0"/>
        <v>103</v>
      </c>
    </row>
    <row r="97" spans="1:31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193">
        <f>Олонецкое!K97+Туксинское!K97+'Ильинское '!K97+Видлицкое!K97+Мегрегское!K97+Куйтежское!K97+Михайловское!K97+Коверское!K97+Коткозерское!K97</f>
        <v>22968.600000000002</v>
      </c>
      <c r="L97" s="188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M97" s="188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N97" s="188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O97" s="300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P97" s="188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Q97" s="188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R97" s="188">
        <f>Олонецкое!Q97+Туксинское!R97+'Ильинское '!R97+Видлицкое!R97+Мегрегское!R97+Куйтежское!R97+Михайловское!R97+Коверское!R97+Коткозерское!R97</f>
        <v>1119.5</v>
      </c>
      <c r="S97" s="300">
        <f>Олонецкое!R97+Туксинское!S97+'Ильинское '!S97+Видлицкое!S97+Мегрегское!S97+Куйтежское!S97+Михайловское!S97+Коверское!S97+Коткозерское!S97</f>
        <v>3106</v>
      </c>
      <c r="T97" s="188">
        <f>Олонецкое!S97+Туксинское!T97+'Ильинское '!T97+Видлицкое!T97+Мегрегское!T97+Куйтежское!T97+Михайловское!T97+Коверское!T97+Коткозерское!T97</f>
        <v>1023</v>
      </c>
      <c r="U97" s="188">
        <f>Олонецкое!T97+Туксинское!U97+'Ильинское '!U97+Видлицкое!U97+Мегрегское!U97+Куйтежское!U97+Михайловское!U97+Коверское!U97+Коткозерское!U97</f>
        <v>1022.5</v>
      </c>
      <c r="V97" s="188">
        <f>Олонецкое!U97+Туксинское!V97+'Ильинское '!V97+Видлицкое!V97+Мегрегское!V97+Куйтежское!V97+Михайловское!V97+Коверское!V97+Коткозерское!V97</f>
        <v>1060.5</v>
      </c>
      <c r="W97" s="300">
        <f>Олонецкое!V97+Туксинское!W97+'Ильинское '!W97+Видлицкое!W97+Мегрегское!W97+Куйтежское!W97+Михайловское!W97+Коверское!W97+Коткозерское!W97</f>
        <v>3182.7</v>
      </c>
      <c r="X97" s="188">
        <f>Олонецкое!W97+Туксинское!X97+'Ильинское '!X97+Видлицкое!X97+Мегрегское!X97+Куйтежское!X97+Михайловское!X97+Коверское!X97+Коткозерское!X97</f>
        <v>1001.5</v>
      </c>
      <c r="Y97" s="188">
        <f>Олонецкое!X97+Туксинское!Y97+'Ильинское '!Y97+Видлицкое!Y97+Мегрегское!Y97+Куйтежское!Y97+Михайловское!Y97+Коверское!Y97+Коткозерское!Y97</f>
        <v>1034</v>
      </c>
      <c r="Z97" s="188">
        <f>Олонецкое!Y97+Туксинское!Z97+'Ильинское '!Z97+Видлицкое!Z97+Мегрегское!Z97+Куйтежское!Z97+Михайловское!Z97+Коверское!Z97+Коткозерское!Z97</f>
        <v>1147.2</v>
      </c>
      <c r="AA97" s="300">
        <f>Олонецкое!Z97+Туксинское!AA97+'Ильинское '!AA97+Видлицкое!AA97+Мегрегское!AA97+Куйтежское!AA97+Михайловское!AA97+Коверское!AA97+Коткозерское!AA97</f>
        <v>3173.5</v>
      </c>
      <c r="AB97" s="188">
        <f>Олонецкое!AA97+Туксинское!AB97+'Ильинское '!AB97+Видлицкое!AB97+Мегрегское!AB97+Куйтежское!AB97+Михайловское!AB97+Коверское!AB97+Коткозерское!AB97</f>
        <v>1004</v>
      </c>
      <c r="AC97" s="188">
        <f>Олонецкое!AB97+Туксинское!AC97+'Ильинское '!AC97+Видлицкое!AC97+Мегрегское!AC97+Куйтежское!AC97+Михайловское!AC97+Коверское!AC97+Коткозерское!AC97</f>
        <v>1093.7</v>
      </c>
      <c r="AD97" s="188">
        <f>Олонецкое!AC97+Туксинское!AD97+'Ильинское '!AD97+Видлицкое!AD97+Мегрегское!AD97+Куйтежское!AD97+Михайловское!AD97+Коверское!AD97+Коткозерское!AD97</f>
        <v>1125</v>
      </c>
      <c r="AE97">
        <f t="shared" si="0"/>
        <v>12538.7</v>
      </c>
    </row>
    <row r="98" spans="12:27" ht="12.75">
      <c r="L98">
        <f>SUM(M97:O97)</f>
        <v>5016</v>
      </c>
      <c r="O98" s="210">
        <f>SUM(P97:R97)</f>
        <v>3059</v>
      </c>
      <c r="S98" s="210">
        <f>SUM(T97:V97)</f>
        <v>3106</v>
      </c>
      <c r="W98" s="210">
        <f>SUM(X97:Z97)</f>
        <v>3182.7</v>
      </c>
      <c r="AA98" s="210">
        <f>SUM(AB97:AD97)</f>
        <v>3222.7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workbookViewId="0" topLeftCell="A2">
      <selection activeCell="K55" sqref="K55"/>
    </sheetView>
  </sheetViews>
  <sheetFormatPr defaultColWidth="9.00390625" defaultRowHeight="12.75"/>
  <cols>
    <col min="1" max="1" width="0.12890625" style="0" customWidth="1"/>
    <col min="2" max="2" width="61.75390625" style="358" customWidth="1"/>
    <col min="3" max="3" width="3.875" style="0" customWidth="1"/>
    <col min="4" max="4" width="2.75390625" style="0" customWidth="1"/>
    <col min="5" max="5" width="3.125" style="0" customWidth="1"/>
    <col min="6" max="6" width="3.25390625" style="0" customWidth="1"/>
    <col min="7" max="7" width="4.00390625" style="0" customWidth="1"/>
    <col min="8" max="8" width="4.125" style="0" customWidth="1"/>
    <col min="9" max="9" width="4.875" style="0" customWidth="1"/>
    <col min="10" max="10" width="4.625" style="0" customWidth="1"/>
    <col min="11" max="11" width="13.00390625" style="377" customWidth="1"/>
    <col min="12" max="21" width="0" style="377" hidden="1" customWidth="1"/>
    <col min="22" max="22" width="10.875" style="377" hidden="1" customWidth="1"/>
    <col min="23" max="23" width="0" style="377" hidden="1" customWidth="1"/>
  </cols>
  <sheetData>
    <row r="1" spans="1:10" ht="12" customHeight="1" hidden="1">
      <c r="A1" s="1"/>
      <c r="B1" s="36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1"/>
      <c r="B2" s="362"/>
      <c r="C2" s="2"/>
      <c r="D2" s="2"/>
      <c r="E2" s="2"/>
      <c r="F2" s="2"/>
      <c r="G2" s="2"/>
      <c r="H2" s="2"/>
      <c r="I2" s="2"/>
      <c r="J2" s="2"/>
    </row>
    <row r="3" spans="1:11" ht="16.5" customHeight="1">
      <c r="A3" s="1"/>
      <c r="B3" s="362"/>
      <c r="C3" s="2"/>
      <c r="D3" s="2"/>
      <c r="E3" s="2"/>
      <c r="F3" s="2"/>
      <c r="G3" s="421" t="s">
        <v>269</v>
      </c>
      <c r="H3" s="422"/>
      <c r="I3" s="422"/>
      <c r="J3" s="422"/>
      <c r="K3" s="422"/>
    </row>
    <row r="4" spans="1:12" ht="48" customHeight="1">
      <c r="A4" s="1"/>
      <c r="B4" s="362"/>
      <c r="C4" s="2"/>
      <c r="D4" s="2"/>
      <c r="E4" s="2"/>
      <c r="F4" s="2"/>
      <c r="G4" s="423" t="s">
        <v>354</v>
      </c>
      <c r="H4" s="422"/>
      <c r="I4" s="422"/>
      <c r="J4" s="422"/>
      <c r="K4" s="422"/>
      <c r="L4" s="378"/>
    </row>
    <row r="5" spans="1:12" ht="13.5" customHeight="1">
      <c r="A5" s="1"/>
      <c r="B5" s="362"/>
      <c r="C5" s="2"/>
      <c r="D5" s="2"/>
      <c r="E5" s="2"/>
      <c r="F5" s="2"/>
      <c r="G5" s="422"/>
      <c r="H5" s="422"/>
      <c r="I5" s="422"/>
      <c r="J5" s="422"/>
      <c r="K5" s="422"/>
      <c r="L5" s="378"/>
    </row>
    <row r="6" spans="1:12" ht="15.75" customHeight="1">
      <c r="A6" s="1"/>
      <c r="B6" s="362"/>
      <c r="C6" s="2"/>
      <c r="D6" s="2"/>
      <c r="E6" s="2"/>
      <c r="F6" s="2"/>
      <c r="G6" s="422"/>
      <c r="H6" s="422"/>
      <c r="I6" s="422"/>
      <c r="J6" s="422"/>
      <c r="K6" s="422"/>
      <c r="L6" s="378"/>
    </row>
    <row r="7" spans="1:12" ht="14.25" customHeight="1">
      <c r="A7" s="1"/>
      <c r="B7" s="362"/>
      <c r="C7" s="2"/>
      <c r="D7" s="2"/>
      <c r="E7" s="2"/>
      <c r="F7" s="2"/>
      <c r="G7" s="2"/>
      <c r="H7" s="146"/>
      <c r="I7" s="146"/>
      <c r="J7" s="146"/>
      <c r="K7" s="378"/>
      <c r="L7" s="378"/>
    </row>
    <row r="8" spans="1:12" ht="13.5" customHeight="1">
      <c r="A8" s="1"/>
      <c r="B8" s="362"/>
      <c r="C8" s="2"/>
      <c r="D8" s="2"/>
      <c r="E8" s="2"/>
      <c r="F8" s="2"/>
      <c r="G8" s="2"/>
      <c r="H8" s="146"/>
      <c r="I8" s="146"/>
      <c r="J8" s="146"/>
      <c r="K8" s="378"/>
      <c r="L8" s="378"/>
    </row>
    <row r="9" spans="1:12" ht="12" customHeight="1">
      <c r="A9" s="1"/>
      <c r="B9" s="362"/>
      <c r="C9" s="2"/>
      <c r="D9" s="2"/>
      <c r="E9" s="2"/>
      <c r="F9" s="2"/>
      <c r="G9" s="2"/>
      <c r="H9" s="146"/>
      <c r="I9" s="146"/>
      <c r="J9" s="146"/>
      <c r="K9" s="378"/>
      <c r="L9" s="378"/>
    </row>
    <row r="10" spans="1:12" ht="20.25" customHeight="1">
      <c r="A10" s="1"/>
      <c r="B10" s="362"/>
      <c r="C10" s="2"/>
      <c r="D10" s="2"/>
      <c r="E10" s="2"/>
      <c r="F10" s="2"/>
      <c r="G10" s="2"/>
      <c r="H10" s="146"/>
      <c r="I10" s="146"/>
      <c r="J10" s="146"/>
      <c r="K10" s="378"/>
      <c r="L10" s="378"/>
    </row>
    <row r="11" spans="1:23" ht="12.75">
      <c r="A11" s="403" t="s">
        <v>329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</row>
    <row r="12" spans="1:11" ht="12.75">
      <c r="A12" s="36"/>
      <c r="B12" s="403" t="s">
        <v>339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3.5" thickBot="1">
      <c r="A13" s="1"/>
      <c r="B13" s="36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hidden="1" thickBot="1">
      <c r="A14" s="1"/>
      <c r="B14" s="362"/>
      <c r="C14" s="1"/>
      <c r="D14" s="1"/>
      <c r="E14" s="1"/>
      <c r="F14" s="1"/>
      <c r="G14" s="1"/>
      <c r="H14" s="1"/>
      <c r="I14" s="1"/>
      <c r="J14" s="1"/>
      <c r="K14" s="379"/>
    </row>
    <row r="15" spans="1:23" ht="12.75">
      <c r="A15" s="4"/>
      <c r="B15" s="364"/>
      <c r="C15" s="412" t="s">
        <v>0</v>
      </c>
      <c r="D15" s="413"/>
      <c r="E15" s="413"/>
      <c r="F15" s="413"/>
      <c r="G15" s="413"/>
      <c r="H15" s="413"/>
      <c r="I15" s="413"/>
      <c r="J15" s="414"/>
      <c r="K15" s="376"/>
      <c r="L15" s="380"/>
      <c r="M15" s="381"/>
      <c r="N15" s="381"/>
      <c r="O15" s="382"/>
      <c r="V15" s="383"/>
      <c r="W15" s="383"/>
    </row>
    <row r="16" spans="1:23" ht="12.75">
      <c r="A16" s="7"/>
      <c r="B16" s="365"/>
      <c r="C16" s="415"/>
      <c r="D16" s="416"/>
      <c r="E16" s="416"/>
      <c r="F16" s="416"/>
      <c r="G16" s="416"/>
      <c r="H16" s="416"/>
      <c r="I16" s="416"/>
      <c r="J16" s="417"/>
      <c r="K16" s="9"/>
      <c r="L16" s="384"/>
      <c r="M16" s="385"/>
      <c r="N16" s="385"/>
      <c r="O16" s="386"/>
      <c r="V16" s="387" t="s">
        <v>340</v>
      </c>
      <c r="W16" s="387" t="s">
        <v>343</v>
      </c>
    </row>
    <row r="17" spans="1:23" ht="12.75">
      <c r="A17" s="7"/>
      <c r="B17" s="365" t="s">
        <v>1</v>
      </c>
      <c r="C17" s="415"/>
      <c r="D17" s="416"/>
      <c r="E17" s="416"/>
      <c r="F17" s="416"/>
      <c r="G17" s="416"/>
      <c r="H17" s="416"/>
      <c r="I17" s="416"/>
      <c r="J17" s="417"/>
      <c r="K17" s="9" t="s">
        <v>346</v>
      </c>
      <c r="L17" s="384" t="s">
        <v>181</v>
      </c>
      <c r="M17" s="385"/>
      <c r="N17" s="385"/>
      <c r="O17" s="386"/>
      <c r="V17" s="387" t="s">
        <v>341</v>
      </c>
      <c r="W17" s="387"/>
    </row>
    <row r="18" spans="1:23" ht="12.75">
      <c r="A18" s="7"/>
      <c r="B18" s="365"/>
      <c r="C18" s="415"/>
      <c r="D18" s="416"/>
      <c r="E18" s="416"/>
      <c r="F18" s="416"/>
      <c r="G18" s="416"/>
      <c r="H18" s="416"/>
      <c r="I18" s="416"/>
      <c r="J18" s="417"/>
      <c r="K18" s="9" t="s">
        <v>315</v>
      </c>
      <c r="L18" s="384"/>
      <c r="M18" s="385"/>
      <c r="N18" s="385"/>
      <c r="O18" s="386"/>
      <c r="V18" s="387" t="s">
        <v>342</v>
      </c>
      <c r="W18" s="387" t="s">
        <v>344</v>
      </c>
    </row>
    <row r="19" spans="1:23" ht="13.5" thickBot="1">
      <c r="A19" s="7"/>
      <c r="B19" s="366"/>
      <c r="C19" s="418"/>
      <c r="D19" s="419"/>
      <c r="E19" s="419"/>
      <c r="F19" s="419"/>
      <c r="G19" s="419"/>
      <c r="H19" s="419"/>
      <c r="I19" s="419"/>
      <c r="J19" s="420"/>
      <c r="K19" s="9"/>
      <c r="L19" s="388"/>
      <c r="M19" s="389"/>
      <c r="N19" s="389"/>
      <c r="O19" s="390"/>
      <c r="V19" s="387"/>
      <c r="W19" s="387"/>
    </row>
    <row r="20" spans="1:23" ht="13.5" thickBot="1">
      <c r="A20" s="12">
        <v>1</v>
      </c>
      <c r="B20" s="364">
        <v>2</v>
      </c>
      <c r="C20" s="404"/>
      <c r="D20" s="404"/>
      <c r="E20" s="404"/>
      <c r="F20" s="404"/>
      <c r="G20" s="404"/>
      <c r="H20" s="404"/>
      <c r="I20" s="404"/>
      <c r="J20" s="405"/>
      <c r="K20" s="13">
        <v>4</v>
      </c>
      <c r="L20" s="391">
        <v>5</v>
      </c>
      <c r="M20" s="391">
        <v>6</v>
      </c>
      <c r="N20" s="391">
        <v>7</v>
      </c>
      <c r="O20" s="391">
        <v>8</v>
      </c>
      <c r="V20" s="392"/>
      <c r="W20" s="392"/>
    </row>
    <row r="21" spans="1:15" ht="1.5" customHeight="1">
      <c r="A21" s="317"/>
      <c r="B21" s="318"/>
      <c r="C21" s="318" t="s">
        <v>4</v>
      </c>
      <c r="D21" s="318" t="s">
        <v>5</v>
      </c>
      <c r="E21" s="318" t="s">
        <v>6</v>
      </c>
      <c r="F21" s="318" t="s">
        <v>7</v>
      </c>
      <c r="G21" s="318" t="s">
        <v>8</v>
      </c>
      <c r="H21" s="318" t="s">
        <v>9</v>
      </c>
      <c r="I21" s="318" t="s">
        <v>10</v>
      </c>
      <c r="J21" s="318" t="s">
        <v>11</v>
      </c>
      <c r="K21" s="319"/>
      <c r="L21" s="391" t="s">
        <v>177</v>
      </c>
      <c r="M21" s="391" t="s">
        <v>178</v>
      </c>
      <c r="N21" s="391" t="s">
        <v>179</v>
      </c>
      <c r="O21" s="391" t="s">
        <v>180</v>
      </c>
    </row>
    <row r="22" spans="1:23" ht="12.75">
      <c r="A22" s="320" t="s">
        <v>12</v>
      </c>
      <c r="B22" s="367" t="s">
        <v>13</v>
      </c>
      <c r="C22" s="44" t="s">
        <v>14</v>
      </c>
      <c r="D22" s="44">
        <v>1</v>
      </c>
      <c r="E22" s="44" t="s">
        <v>15</v>
      </c>
      <c r="F22" s="44" t="s">
        <v>15</v>
      </c>
      <c r="G22" s="44" t="s">
        <v>14</v>
      </c>
      <c r="H22" s="44" t="s">
        <v>15</v>
      </c>
      <c r="I22" s="44" t="s">
        <v>16</v>
      </c>
      <c r="J22" s="44" t="s">
        <v>14</v>
      </c>
      <c r="K22" s="233">
        <f>K23+K30+K37+K41+K48+K50+K51+K52+K55</f>
        <v>98196</v>
      </c>
      <c r="L22" s="233">
        <f aca="true" t="shared" si="0" ref="L22:W22">L23+L30+L37+L41+L48+L50+L52+L55+L63</f>
        <v>3928.1</v>
      </c>
      <c r="M22" s="233">
        <f t="shared" si="0"/>
        <v>3928.1</v>
      </c>
      <c r="N22" s="233">
        <f t="shared" si="0"/>
        <v>3928.1</v>
      </c>
      <c r="O22" s="233">
        <f t="shared" si="0"/>
        <v>3928.3</v>
      </c>
      <c r="P22" s="233">
        <f t="shared" si="0"/>
        <v>15712.6</v>
      </c>
      <c r="Q22" s="233">
        <f t="shared" si="0"/>
        <v>6600</v>
      </c>
      <c r="R22" s="233">
        <f t="shared" si="0"/>
        <v>0</v>
      </c>
      <c r="S22" s="233">
        <f t="shared" si="0"/>
        <v>0</v>
      </c>
      <c r="T22" s="233">
        <f t="shared" si="0"/>
        <v>0</v>
      </c>
      <c r="U22" s="233">
        <f t="shared" si="0"/>
        <v>0</v>
      </c>
      <c r="V22" s="233">
        <f t="shared" si="0"/>
        <v>64957</v>
      </c>
      <c r="W22" s="233">
        <f t="shared" si="0"/>
        <v>61270</v>
      </c>
    </row>
    <row r="23" spans="1:23" ht="12.75">
      <c r="A23" s="320" t="s">
        <v>17</v>
      </c>
      <c r="B23" s="105" t="s">
        <v>18</v>
      </c>
      <c r="C23" s="44" t="s">
        <v>14</v>
      </c>
      <c r="D23" s="44" t="s">
        <v>19</v>
      </c>
      <c r="E23" s="44" t="s">
        <v>20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49">
        <f>K24</f>
        <v>51740</v>
      </c>
      <c r="L23" s="249">
        <f aca="true" t="shared" si="1" ref="L23:W23">L24</f>
        <v>0</v>
      </c>
      <c r="M23" s="249">
        <f t="shared" si="1"/>
        <v>0</v>
      </c>
      <c r="N23" s="249">
        <f t="shared" si="1"/>
        <v>0</v>
      </c>
      <c r="O23" s="249">
        <f t="shared" si="1"/>
        <v>0</v>
      </c>
      <c r="P23" s="249">
        <f t="shared" si="1"/>
        <v>0</v>
      </c>
      <c r="Q23" s="249">
        <f t="shared" si="1"/>
        <v>0</v>
      </c>
      <c r="R23" s="249">
        <f t="shared" si="1"/>
        <v>0</v>
      </c>
      <c r="S23" s="249">
        <f t="shared" si="1"/>
        <v>0</v>
      </c>
      <c r="T23" s="249">
        <f t="shared" si="1"/>
        <v>0</v>
      </c>
      <c r="U23" s="249">
        <f t="shared" si="1"/>
        <v>0</v>
      </c>
      <c r="V23" s="249">
        <f t="shared" si="1"/>
        <v>41801</v>
      </c>
      <c r="W23" s="249">
        <f t="shared" si="1"/>
        <v>35575</v>
      </c>
    </row>
    <row r="24" spans="1:23" ht="12.75" customHeight="1">
      <c r="A24" s="320" t="s">
        <v>21</v>
      </c>
      <c r="B24" s="105" t="s">
        <v>22</v>
      </c>
      <c r="C24" s="44" t="s">
        <v>26</v>
      </c>
      <c r="D24" s="44" t="s">
        <v>19</v>
      </c>
      <c r="E24" s="44" t="s">
        <v>20</v>
      </c>
      <c r="F24" s="44" t="s">
        <v>23</v>
      </c>
      <c r="G24" s="44" t="s">
        <v>14</v>
      </c>
      <c r="H24" s="44" t="s">
        <v>20</v>
      </c>
      <c r="I24" s="44" t="s">
        <v>16</v>
      </c>
      <c r="J24" s="44" t="s">
        <v>24</v>
      </c>
      <c r="K24" s="249">
        <f>K26</f>
        <v>51740</v>
      </c>
      <c r="L24" s="249">
        <f aca="true" t="shared" si="2" ref="L24:W24">L26</f>
        <v>0</v>
      </c>
      <c r="M24" s="249">
        <f t="shared" si="2"/>
        <v>0</v>
      </c>
      <c r="N24" s="249">
        <f t="shared" si="2"/>
        <v>0</v>
      </c>
      <c r="O24" s="249">
        <f t="shared" si="2"/>
        <v>0</v>
      </c>
      <c r="P24" s="249">
        <f t="shared" si="2"/>
        <v>0</v>
      </c>
      <c r="Q24" s="249">
        <f t="shared" si="2"/>
        <v>0</v>
      </c>
      <c r="R24" s="249">
        <f t="shared" si="2"/>
        <v>0</v>
      </c>
      <c r="S24" s="249">
        <f t="shared" si="2"/>
        <v>0</v>
      </c>
      <c r="T24" s="249">
        <f t="shared" si="2"/>
        <v>0</v>
      </c>
      <c r="U24" s="249">
        <f t="shared" si="2"/>
        <v>0</v>
      </c>
      <c r="V24" s="249">
        <f t="shared" si="2"/>
        <v>41801</v>
      </c>
      <c r="W24" s="249">
        <f t="shared" si="2"/>
        <v>35575</v>
      </c>
    </row>
    <row r="25" spans="1:23" ht="0.75" customHeight="1">
      <c r="A25" s="320"/>
      <c r="B25" s="74" t="s">
        <v>25</v>
      </c>
      <c r="C25" s="46" t="s">
        <v>26</v>
      </c>
      <c r="D25" s="46" t="s">
        <v>19</v>
      </c>
      <c r="E25" s="46" t="s">
        <v>20</v>
      </c>
      <c r="F25" s="46" t="s">
        <v>23</v>
      </c>
      <c r="G25" s="46" t="s">
        <v>27</v>
      </c>
      <c r="H25" s="46" t="s">
        <v>20</v>
      </c>
      <c r="I25" s="46" t="s">
        <v>16</v>
      </c>
      <c r="J25" s="46" t="s">
        <v>24</v>
      </c>
      <c r="K25" s="64"/>
      <c r="L25" s="391"/>
      <c r="M25" s="391"/>
      <c r="N25" s="391"/>
      <c r="O25" s="391"/>
      <c r="P25" s="391">
        <f aca="true" t="shared" si="3" ref="P25:P53">L25+M25+N25+O25</f>
        <v>0</v>
      </c>
      <c r="Q25" s="391"/>
      <c r="R25" s="391"/>
      <c r="S25" s="391"/>
      <c r="T25" s="391"/>
      <c r="U25" s="391"/>
      <c r="V25" s="391"/>
      <c r="W25" s="391"/>
    </row>
    <row r="26" spans="1:23" ht="39" customHeight="1">
      <c r="A26" s="77"/>
      <c r="B26" s="74" t="s">
        <v>28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29</v>
      </c>
      <c r="H26" s="46" t="s">
        <v>20</v>
      </c>
      <c r="I26" s="46" t="s">
        <v>16</v>
      </c>
      <c r="J26" s="46" t="s">
        <v>24</v>
      </c>
      <c r="K26" s="64">
        <f>K27+K28</f>
        <v>51740</v>
      </c>
      <c r="L26" s="64">
        <f aca="true" t="shared" si="4" ref="L26:V26">L27+L28</f>
        <v>0</v>
      </c>
      <c r="M26" s="64">
        <f t="shared" si="4"/>
        <v>0</v>
      </c>
      <c r="N26" s="64">
        <f t="shared" si="4"/>
        <v>0</v>
      </c>
      <c r="O26" s="64">
        <f t="shared" si="4"/>
        <v>0</v>
      </c>
      <c r="P26" s="64">
        <f t="shared" si="4"/>
        <v>0</v>
      </c>
      <c r="Q26" s="64">
        <f t="shared" si="4"/>
        <v>0</v>
      </c>
      <c r="R26" s="64">
        <f t="shared" si="4"/>
        <v>0</v>
      </c>
      <c r="S26" s="64">
        <f t="shared" si="4"/>
        <v>0</v>
      </c>
      <c r="T26" s="64">
        <f t="shared" si="4"/>
        <v>0</v>
      </c>
      <c r="U26" s="64">
        <f t="shared" si="4"/>
        <v>0</v>
      </c>
      <c r="V26" s="64">
        <f t="shared" si="4"/>
        <v>41801</v>
      </c>
      <c r="W26" s="64">
        <f>W27+W28</f>
        <v>35575</v>
      </c>
    </row>
    <row r="27" spans="1:23" ht="71.25" customHeight="1">
      <c r="A27" s="77"/>
      <c r="B27" s="74" t="s">
        <v>30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31</v>
      </c>
      <c r="H27" s="46" t="s">
        <v>20</v>
      </c>
      <c r="I27" s="46" t="s">
        <v>16</v>
      </c>
      <c r="J27" s="46" t="s">
        <v>24</v>
      </c>
      <c r="K27" s="64">
        <v>51360</v>
      </c>
      <c r="L27" s="391"/>
      <c r="M27" s="391"/>
      <c r="N27" s="391"/>
      <c r="O27" s="391"/>
      <c r="P27" s="391">
        <f t="shared" si="3"/>
        <v>0</v>
      </c>
      <c r="Q27" s="391"/>
      <c r="R27" s="391"/>
      <c r="S27" s="391"/>
      <c r="T27" s="391"/>
      <c r="U27" s="391"/>
      <c r="V27" s="391">
        <v>41481</v>
      </c>
      <c r="W27" s="391">
        <v>35405</v>
      </c>
    </row>
    <row r="28" spans="1:23" ht="62.25" customHeight="1">
      <c r="A28" s="77"/>
      <c r="B28" s="74" t="s">
        <v>32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33</v>
      </c>
      <c r="H28" s="46" t="s">
        <v>20</v>
      </c>
      <c r="I28" s="46" t="s">
        <v>16</v>
      </c>
      <c r="J28" s="46" t="s">
        <v>24</v>
      </c>
      <c r="K28" s="64">
        <v>380</v>
      </c>
      <c r="L28" s="391"/>
      <c r="M28" s="391"/>
      <c r="N28" s="391"/>
      <c r="O28" s="391"/>
      <c r="P28" s="391">
        <f t="shared" si="3"/>
        <v>0</v>
      </c>
      <c r="Q28" s="391"/>
      <c r="R28" s="391"/>
      <c r="S28" s="391"/>
      <c r="T28" s="391"/>
      <c r="U28" s="391"/>
      <c r="V28" s="391">
        <v>320</v>
      </c>
      <c r="W28" s="391">
        <v>170</v>
      </c>
    </row>
    <row r="29" spans="1:23" ht="0.75" customHeight="1">
      <c r="A29" s="77"/>
      <c r="B29" s="74" t="s">
        <v>34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35</v>
      </c>
      <c r="H29" s="46" t="s">
        <v>20</v>
      </c>
      <c r="I29" s="46" t="s">
        <v>16</v>
      </c>
      <c r="J29" s="46" t="s">
        <v>24</v>
      </c>
      <c r="K29" s="64"/>
      <c r="L29" s="391"/>
      <c r="M29" s="391"/>
      <c r="N29" s="391"/>
      <c r="O29" s="391"/>
      <c r="P29" s="391">
        <f t="shared" si="3"/>
        <v>0</v>
      </c>
      <c r="Q29" s="391"/>
      <c r="R29" s="391"/>
      <c r="S29" s="391"/>
      <c r="T29" s="391"/>
      <c r="U29" s="391"/>
      <c r="V29" s="391"/>
      <c r="W29" s="391"/>
    </row>
    <row r="30" spans="1:23" ht="12.75">
      <c r="A30" s="320" t="s">
        <v>36</v>
      </c>
      <c r="B30" s="368" t="s">
        <v>37</v>
      </c>
      <c r="C30" s="44" t="s">
        <v>14</v>
      </c>
      <c r="D30" s="44" t="s">
        <v>19</v>
      </c>
      <c r="E30" s="44" t="s">
        <v>38</v>
      </c>
      <c r="F30" s="44" t="s">
        <v>15</v>
      </c>
      <c r="G30" s="44" t="s">
        <v>14</v>
      </c>
      <c r="H30" s="44" t="s">
        <v>15</v>
      </c>
      <c r="I30" s="44" t="s">
        <v>16</v>
      </c>
      <c r="J30" s="44" t="s">
        <v>14</v>
      </c>
      <c r="K30" s="249">
        <f>K31+K32</f>
        <v>8420</v>
      </c>
      <c r="L30" s="249">
        <f aca="true" t="shared" si="5" ref="L30:W30">L31+L32</f>
        <v>1774</v>
      </c>
      <c r="M30" s="249">
        <f t="shared" si="5"/>
        <v>1774</v>
      </c>
      <c r="N30" s="249">
        <f t="shared" si="5"/>
        <v>1774</v>
      </c>
      <c r="O30" s="249">
        <f t="shared" si="5"/>
        <v>1774.1</v>
      </c>
      <c r="P30" s="249">
        <f t="shared" si="5"/>
        <v>7096.1</v>
      </c>
      <c r="Q30" s="249">
        <f t="shared" si="5"/>
        <v>50</v>
      </c>
      <c r="R30" s="249">
        <f t="shared" si="5"/>
        <v>0</v>
      </c>
      <c r="S30" s="249">
        <f t="shared" si="5"/>
        <v>0</v>
      </c>
      <c r="T30" s="249">
        <f t="shared" si="5"/>
        <v>0</v>
      </c>
      <c r="U30" s="249">
        <f t="shared" si="5"/>
        <v>0</v>
      </c>
      <c r="V30" s="249">
        <f t="shared" si="5"/>
        <v>7250</v>
      </c>
      <c r="W30" s="249">
        <f t="shared" si="5"/>
        <v>6536</v>
      </c>
    </row>
    <row r="31" spans="1:23" ht="12.75">
      <c r="A31" s="321" t="s">
        <v>39</v>
      </c>
      <c r="B31" s="93" t="s">
        <v>40</v>
      </c>
      <c r="C31" s="46" t="s">
        <v>26</v>
      </c>
      <c r="D31" s="46" t="s">
        <v>19</v>
      </c>
      <c r="E31" s="46" t="s">
        <v>38</v>
      </c>
      <c r="F31" s="46" t="s">
        <v>23</v>
      </c>
      <c r="G31" s="46" t="s">
        <v>14</v>
      </c>
      <c r="H31" s="46" t="s">
        <v>23</v>
      </c>
      <c r="I31" s="46" t="s">
        <v>16</v>
      </c>
      <c r="J31" s="46" t="s">
        <v>24</v>
      </c>
      <c r="K31" s="64">
        <v>8387</v>
      </c>
      <c r="L31" s="391">
        <v>1757.5</v>
      </c>
      <c r="M31" s="391">
        <v>1757.5</v>
      </c>
      <c r="N31" s="391">
        <v>1757.5</v>
      </c>
      <c r="O31" s="391">
        <v>1757.5</v>
      </c>
      <c r="P31" s="391">
        <f t="shared" si="3"/>
        <v>7030</v>
      </c>
      <c r="Q31" s="391"/>
      <c r="R31" s="391"/>
      <c r="S31" s="391"/>
      <c r="T31" s="391"/>
      <c r="U31" s="391"/>
      <c r="V31" s="391">
        <v>7304</v>
      </c>
      <c r="W31" s="391">
        <v>6233</v>
      </c>
    </row>
    <row r="32" spans="1:23" ht="12.75">
      <c r="A32" s="321" t="s">
        <v>41</v>
      </c>
      <c r="B32" s="93" t="s">
        <v>256</v>
      </c>
      <c r="C32" s="46" t="s">
        <v>26</v>
      </c>
      <c r="D32" s="46" t="s">
        <v>19</v>
      </c>
      <c r="E32" s="46" t="s">
        <v>38</v>
      </c>
      <c r="F32" s="46" t="s">
        <v>42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33</v>
      </c>
      <c r="L32" s="391">
        <v>16.5</v>
      </c>
      <c r="M32" s="391">
        <v>16.5</v>
      </c>
      <c r="N32" s="391">
        <v>16.5</v>
      </c>
      <c r="O32" s="391">
        <v>16.6</v>
      </c>
      <c r="P32" s="391">
        <f t="shared" si="3"/>
        <v>66.1</v>
      </c>
      <c r="Q32" s="391">
        <v>50</v>
      </c>
      <c r="R32" s="391"/>
      <c r="S32" s="391"/>
      <c r="T32" s="391"/>
      <c r="U32" s="391"/>
      <c r="V32" s="391">
        <v>-54</v>
      </c>
      <c r="W32" s="391">
        <v>303</v>
      </c>
    </row>
    <row r="33" spans="1:23" ht="0.75" customHeight="1">
      <c r="A33" s="322" t="s">
        <v>44</v>
      </c>
      <c r="B33" s="368" t="s">
        <v>45</v>
      </c>
      <c r="C33" s="44" t="s">
        <v>14</v>
      </c>
      <c r="D33" s="44" t="s">
        <v>19</v>
      </c>
      <c r="E33" s="44" t="s">
        <v>46</v>
      </c>
      <c r="F33" s="44" t="s">
        <v>15</v>
      </c>
      <c r="G33" s="44" t="s">
        <v>14</v>
      </c>
      <c r="H33" s="44" t="s">
        <v>15</v>
      </c>
      <c r="I33" s="44" t="s">
        <v>16</v>
      </c>
      <c r="J33" s="44" t="s">
        <v>14</v>
      </c>
      <c r="K33" s="249">
        <f>K34+K35+K36</f>
        <v>0</v>
      </c>
      <c r="L33" s="391"/>
      <c r="M33" s="391"/>
      <c r="N33" s="391"/>
      <c r="O33" s="391"/>
      <c r="P33" s="391">
        <f t="shared" si="3"/>
        <v>0</v>
      </c>
      <c r="Q33" s="391"/>
      <c r="R33" s="391"/>
      <c r="S33" s="391"/>
      <c r="T33" s="391"/>
      <c r="U33" s="391"/>
      <c r="V33" s="391"/>
      <c r="W33" s="391"/>
    </row>
    <row r="34" spans="1:23" ht="12" customHeight="1" hidden="1">
      <c r="A34" s="322"/>
      <c r="B34" s="93" t="s">
        <v>47</v>
      </c>
      <c r="C34" s="46" t="s">
        <v>26</v>
      </c>
      <c r="D34" s="46" t="s">
        <v>19</v>
      </c>
      <c r="E34" s="46" t="s">
        <v>46</v>
      </c>
      <c r="F34" s="46" t="s">
        <v>20</v>
      </c>
      <c r="G34" s="46" t="s">
        <v>85</v>
      </c>
      <c r="H34" s="46" t="s">
        <v>38</v>
      </c>
      <c r="I34" s="46" t="s">
        <v>16</v>
      </c>
      <c r="J34" s="46" t="s">
        <v>24</v>
      </c>
      <c r="K34" s="64">
        <v>0</v>
      </c>
      <c r="L34" s="391"/>
      <c r="M34" s="391"/>
      <c r="N34" s="391"/>
      <c r="O34" s="391"/>
      <c r="P34" s="391">
        <f t="shared" si="3"/>
        <v>0</v>
      </c>
      <c r="Q34" s="391"/>
      <c r="R34" s="391"/>
      <c r="S34" s="391"/>
      <c r="T34" s="391"/>
      <c r="U34" s="391"/>
      <c r="V34" s="391"/>
      <c r="W34" s="391"/>
    </row>
    <row r="35" spans="1:23" ht="12.75" hidden="1">
      <c r="A35" s="322"/>
      <c r="B35" s="93" t="s">
        <v>170</v>
      </c>
      <c r="C35" s="46" t="s">
        <v>26</v>
      </c>
      <c r="D35" s="46" t="s">
        <v>19</v>
      </c>
      <c r="E35" s="46" t="s">
        <v>46</v>
      </c>
      <c r="F35" s="46" t="s">
        <v>23</v>
      </c>
      <c r="G35" s="46" t="s">
        <v>14</v>
      </c>
      <c r="H35" s="46" t="s">
        <v>23</v>
      </c>
      <c r="I35" s="46" t="s">
        <v>16</v>
      </c>
      <c r="J35" s="46" t="s">
        <v>24</v>
      </c>
      <c r="K35" s="64">
        <v>0</v>
      </c>
      <c r="L35" s="391"/>
      <c r="M35" s="391"/>
      <c r="N35" s="391"/>
      <c r="O35" s="391"/>
      <c r="P35" s="391">
        <f t="shared" si="3"/>
        <v>0</v>
      </c>
      <c r="Q35" s="391"/>
      <c r="R35" s="391"/>
      <c r="S35" s="391"/>
      <c r="T35" s="391"/>
      <c r="U35" s="391"/>
      <c r="V35" s="391"/>
      <c r="W35" s="391"/>
    </row>
    <row r="36" spans="1:23" ht="12" customHeight="1" hidden="1">
      <c r="A36" s="322"/>
      <c r="B36" s="93" t="s">
        <v>49</v>
      </c>
      <c r="C36" s="46" t="s">
        <v>26</v>
      </c>
      <c r="D36" s="46" t="s">
        <v>19</v>
      </c>
      <c r="E36" s="46" t="s">
        <v>46</v>
      </c>
      <c r="F36" s="46" t="s">
        <v>46</v>
      </c>
      <c r="G36" s="46" t="s">
        <v>151</v>
      </c>
      <c r="H36" s="46" t="s">
        <v>38</v>
      </c>
      <c r="I36" s="46" t="s">
        <v>16</v>
      </c>
      <c r="J36" s="46" t="s">
        <v>24</v>
      </c>
      <c r="K36" s="64">
        <v>0</v>
      </c>
      <c r="L36" s="391"/>
      <c r="M36" s="391"/>
      <c r="N36" s="391"/>
      <c r="O36" s="391"/>
      <c r="P36" s="391">
        <f t="shared" si="3"/>
        <v>0</v>
      </c>
      <c r="Q36" s="391"/>
      <c r="R36" s="391"/>
      <c r="S36" s="391"/>
      <c r="T36" s="391"/>
      <c r="U36" s="391"/>
      <c r="V36" s="391"/>
      <c r="W36" s="391"/>
    </row>
    <row r="37" spans="1:23" ht="15.75" customHeight="1">
      <c r="A37" s="322" t="s">
        <v>44</v>
      </c>
      <c r="B37" s="368" t="s">
        <v>51</v>
      </c>
      <c r="C37" s="44" t="s">
        <v>14</v>
      </c>
      <c r="D37" s="44" t="s">
        <v>19</v>
      </c>
      <c r="E37" s="44" t="s">
        <v>52</v>
      </c>
      <c r="F37" s="44" t="s">
        <v>15</v>
      </c>
      <c r="G37" s="44" t="s">
        <v>14</v>
      </c>
      <c r="H37" s="44" t="s">
        <v>15</v>
      </c>
      <c r="I37" s="44" t="s">
        <v>16</v>
      </c>
      <c r="J37" s="44" t="s">
        <v>14</v>
      </c>
      <c r="K37" s="249">
        <f>K38+K39+K40</f>
        <v>2610</v>
      </c>
      <c r="L37" s="233">
        <f aca="true" t="shared" si="6" ref="L37:W37">L38+L39+L40</f>
        <v>457.2</v>
      </c>
      <c r="M37" s="233">
        <f t="shared" si="6"/>
        <v>457.3</v>
      </c>
      <c r="N37" s="233">
        <f t="shared" si="6"/>
        <v>457.2</v>
      </c>
      <c r="O37" s="233">
        <f t="shared" si="6"/>
        <v>457.3</v>
      </c>
      <c r="P37" s="233">
        <f t="shared" si="6"/>
        <v>1829</v>
      </c>
      <c r="Q37" s="233">
        <f t="shared" si="6"/>
        <v>0</v>
      </c>
      <c r="R37" s="233">
        <f t="shared" si="6"/>
        <v>0</v>
      </c>
      <c r="S37" s="233">
        <f t="shared" si="6"/>
        <v>0</v>
      </c>
      <c r="T37" s="233">
        <f t="shared" si="6"/>
        <v>0</v>
      </c>
      <c r="U37" s="233">
        <f t="shared" si="6"/>
        <v>0</v>
      </c>
      <c r="V37" s="233">
        <f t="shared" si="6"/>
        <v>2529.5</v>
      </c>
      <c r="W37" s="233">
        <f t="shared" si="6"/>
        <v>2180</v>
      </c>
    </row>
    <row r="38" spans="1:23" ht="36">
      <c r="A38" s="374" t="s">
        <v>306</v>
      </c>
      <c r="B38" s="93" t="s">
        <v>333</v>
      </c>
      <c r="C38" s="46" t="s">
        <v>26</v>
      </c>
      <c r="D38" s="46" t="s">
        <v>19</v>
      </c>
      <c r="E38" s="46" t="s">
        <v>52</v>
      </c>
      <c r="F38" s="46" t="s">
        <v>42</v>
      </c>
      <c r="G38" s="46" t="s">
        <v>27</v>
      </c>
      <c r="H38" s="46" t="s">
        <v>20</v>
      </c>
      <c r="I38" s="46" t="s">
        <v>16</v>
      </c>
      <c r="J38" s="46" t="s">
        <v>24</v>
      </c>
      <c r="K38" s="64">
        <f>880+30</f>
        <v>910</v>
      </c>
      <c r="L38" s="391">
        <v>457.2</v>
      </c>
      <c r="M38" s="391">
        <v>457.3</v>
      </c>
      <c r="N38" s="391">
        <v>457.2</v>
      </c>
      <c r="O38" s="391">
        <v>457.3</v>
      </c>
      <c r="P38" s="391">
        <f t="shared" si="3"/>
        <v>1829</v>
      </c>
      <c r="Q38" s="391"/>
      <c r="R38" s="391"/>
      <c r="S38" s="391"/>
      <c r="T38" s="391"/>
      <c r="U38" s="391"/>
      <c r="V38" s="391">
        <v>906</v>
      </c>
      <c r="W38" s="391">
        <v>748</v>
      </c>
    </row>
    <row r="39" spans="1:23" ht="63" customHeight="1">
      <c r="A39" s="374" t="s">
        <v>314</v>
      </c>
      <c r="B39" s="93" t="s">
        <v>334</v>
      </c>
      <c r="C39" s="46" t="s">
        <v>14</v>
      </c>
      <c r="D39" s="46" t="s">
        <v>19</v>
      </c>
      <c r="E39" s="46" t="s">
        <v>52</v>
      </c>
      <c r="F39" s="46" t="s">
        <v>55</v>
      </c>
      <c r="G39" s="46" t="s">
        <v>272</v>
      </c>
      <c r="H39" s="46" t="s">
        <v>20</v>
      </c>
      <c r="I39" s="46" t="s">
        <v>16</v>
      </c>
      <c r="J39" s="46" t="s">
        <v>24</v>
      </c>
      <c r="K39" s="64">
        <f>1630+70</f>
        <v>1700</v>
      </c>
      <c r="L39" s="391"/>
      <c r="M39" s="391"/>
      <c r="N39" s="391"/>
      <c r="O39" s="391"/>
      <c r="P39" s="391">
        <f t="shared" si="3"/>
        <v>0</v>
      </c>
      <c r="Q39" s="391"/>
      <c r="R39" s="391"/>
      <c r="S39" s="391"/>
      <c r="T39" s="391"/>
      <c r="U39" s="391"/>
      <c r="V39" s="391">
        <v>1616</v>
      </c>
      <c r="W39" s="391">
        <v>1423</v>
      </c>
    </row>
    <row r="40" spans="1:23" ht="24" hidden="1">
      <c r="A40" s="374"/>
      <c r="B40" s="93" t="s">
        <v>316</v>
      </c>
      <c r="C40" s="46" t="s">
        <v>270</v>
      </c>
      <c r="D40" s="46" t="s">
        <v>19</v>
      </c>
      <c r="E40" s="46" t="s">
        <v>52</v>
      </c>
      <c r="F40" s="46" t="s">
        <v>55</v>
      </c>
      <c r="G40" s="46" t="s">
        <v>317</v>
      </c>
      <c r="H40" s="46" t="s">
        <v>20</v>
      </c>
      <c r="I40" s="46" t="s">
        <v>16</v>
      </c>
      <c r="J40" s="46" t="s">
        <v>24</v>
      </c>
      <c r="K40" s="64">
        <v>0</v>
      </c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>
        <v>7.5</v>
      </c>
      <c r="W40" s="391">
        <v>9</v>
      </c>
    </row>
    <row r="41" spans="1:23" ht="24.75" customHeight="1">
      <c r="A41" s="320" t="s">
        <v>50</v>
      </c>
      <c r="B41" s="323" t="s">
        <v>148</v>
      </c>
      <c r="C41" s="44" t="s">
        <v>14</v>
      </c>
      <c r="D41" s="44" t="s">
        <v>19</v>
      </c>
      <c r="E41" s="44" t="s">
        <v>63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249">
        <f>K43+K47</f>
        <v>6884</v>
      </c>
      <c r="L41" s="249">
        <f aca="true" t="shared" si="7" ref="L41:W41">L43+L47</f>
        <v>1453.1</v>
      </c>
      <c r="M41" s="249">
        <f t="shared" si="7"/>
        <v>1453.1</v>
      </c>
      <c r="N41" s="249">
        <f t="shared" si="7"/>
        <v>1453.1</v>
      </c>
      <c r="O41" s="249">
        <f t="shared" si="7"/>
        <v>1453.2</v>
      </c>
      <c r="P41" s="249">
        <f t="shared" si="7"/>
        <v>5812.5</v>
      </c>
      <c r="Q41" s="249">
        <f t="shared" si="7"/>
        <v>350</v>
      </c>
      <c r="R41" s="249">
        <f t="shared" si="7"/>
        <v>0</v>
      </c>
      <c r="S41" s="249">
        <f t="shared" si="7"/>
        <v>0</v>
      </c>
      <c r="T41" s="249">
        <f t="shared" si="7"/>
        <v>0</v>
      </c>
      <c r="U41" s="249">
        <f t="shared" si="7"/>
        <v>0</v>
      </c>
      <c r="V41" s="249">
        <f t="shared" si="7"/>
        <v>6620</v>
      </c>
      <c r="W41" s="249">
        <f t="shared" si="7"/>
        <v>8731</v>
      </c>
    </row>
    <row r="42" spans="1:23" ht="0.75" customHeight="1">
      <c r="A42" s="321"/>
      <c r="B42" s="323"/>
      <c r="C42" s="44"/>
      <c r="D42" s="44"/>
      <c r="E42" s="44"/>
      <c r="F42" s="44"/>
      <c r="G42" s="44"/>
      <c r="H42" s="44"/>
      <c r="I42" s="44"/>
      <c r="J42" s="44"/>
      <c r="K42" s="249"/>
      <c r="L42" s="391"/>
      <c r="M42" s="391"/>
      <c r="N42" s="391"/>
      <c r="O42" s="391"/>
      <c r="P42" s="391">
        <f t="shared" si="3"/>
        <v>0</v>
      </c>
      <c r="Q42" s="391"/>
      <c r="R42" s="391"/>
      <c r="S42" s="391"/>
      <c r="T42" s="391"/>
      <c r="U42" s="391"/>
      <c r="V42" s="391"/>
      <c r="W42" s="391"/>
    </row>
    <row r="43" spans="1:23" ht="40.5" customHeight="1" hidden="1">
      <c r="A43" s="324" t="s">
        <v>285</v>
      </c>
      <c r="B43" s="122" t="s">
        <v>326</v>
      </c>
      <c r="C43" s="115" t="s">
        <v>14</v>
      </c>
      <c r="D43" s="115">
        <v>1</v>
      </c>
      <c r="E43" s="115">
        <v>11</v>
      </c>
      <c r="F43" s="115" t="s">
        <v>38</v>
      </c>
      <c r="G43" s="115" t="s">
        <v>14</v>
      </c>
      <c r="H43" s="115" t="s">
        <v>15</v>
      </c>
      <c r="I43" s="115" t="s">
        <v>16</v>
      </c>
      <c r="J43" s="115" t="s">
        <v>65</v>
      </c>
      <c r="K43" s="250">
        <f>K44+K45</f>
        <v>2584</v>
      </c>
      <c r="L43" s="250">
        <f aca="true" t="shared" si="8" ref="L43:W43">L44+L45</f>
        <v>403.1</v>
      </c>
      <c r="M43" s="250">
        <f t="shared" si="8"/>
        <v>403.1</v>
      </c>
      <c r="N43" s="250">
        <f t="shared" si="8"/>
        <v>403.1</v>
      </c>
      <c r="O43" s="250">
        <f t="shared" si="8"/>
        <v>403.2</v>
      </c>
      <c r="P43" s="250">
        <f t="shared" si="8"/>
        <v>1612.5000000000002</v>
      </c>
      <c r="Q43" s="250">
        <f t="shared" si="8"/>
        <v>350</v>
      </c>
      <c r="R43" s="250">
        <f t="shared" si="8"/>
        <v>0</v>
      </c>
      <c r="S43" s="250">
        <f t="shared" si="8"/>
        <v>0</v>
      </c>
      <c r="T43" s="250">
        <f t="shared" si="8"/>
        <v>0</v>
      </c>
      <c r="U43" s="250">
        <f t="shared" si="8"/>
        <v>0</v>
      </c>
      <c r="V43" s="250">
        <f t="shared" si="8"/>
        <v>2121</v>
      </c>
      <c r="W43" s="250">
        <f t="shared" si="8"/>
        <v>2257</v>
      </c>
    </row>
    <row r="44" spans="1:23" ht="37.5" customHeight="1">
      <c r="A44" s="325"/>
      <c r="B44" s="370" t="s">
        <v>318</v>
      </c>
      <c r="C44" s="371" t="s">
        <v>270</v>
      </c>
      <c r="D44" s="371" t="s">
        <v>19</v>
      </c>
      <c r="E44" s="371" t="s">
        <v>63</v>
      </c>
      <c r="F44" s="371" t="s">
        <v>20</v>
      </c>
      <c r="G44" s="371" t="s">
        <v>159</v>
      </c>
      <c r="H44" s="371" t="s">
        <v>38</v>
      </c>
      <c r="I44" s="371" t="s">
        <v>16</v>
      </c>
      <c r="J44" s="371" t="s">
        <v>65</v>
      </c>
      <c r="K44" s="251">
        <v>30</v>
      </c>
      <c r="L44" s="391">
        <v>403.1</v>
      </c>
      <c r="M44" s="391">
        <v>403.1</v>
      </c>
      <c r="N44" s="391">
        <v>403.1</v>
      </c>
      <c r="O44" s="391">
        <v>403.2</v>
      </c>
      <c r="P44" s="391">
        <f t="shared" si="3"/>
        <v>1612.5000000000002</v>
      </c>
      <c r="Q44" s="391">
        <v>350</v>
      </c>
      <c r="R44" s="391"/>
      <c r="S44" s="391"/>
      <c r="T44" s="391"/>
      <c r="U44" s="391"/>
      <c r="V44" s="391">
        <v>369</v>
      </c>
      <c r="W44" s="391">
        <v>0</v>
      </c>
    </row>
    <row r="45" spans="1:23" ht="52.5" customHeight="1">
      <c r="A45" s="320"/>
      <c r="B45" s="375" t="s">
        <v>319</v>
      </c>
      <c r="C45" s="46" t="s">
        <v>270</v>
      </c>
      <c r="D45" s="46" t="s">
        <v>19</v>
      </c>
      <c r="E45" s="46" t="s">
        <v>63</v>
      </c>
      <c r="F45" s="46" t="s">
        <v>38</v>
      </c>
      <c r="G45" s="46" t="s">
        <v>27</v>
      </c>
      <c r="H45" s="46" t="s">
        <v>112</v>
      </c>
      <c r="I45" s="46" t="s">
        <v>16</v>
      </c>
      <c r="J45" s="46" t="s">
        <v>65</v>
      </c>
      <c r="K45" s="64">
        <v>2554</v>
      </c>
      <c r="L45" s="391"/>
      <c r="M45" s="391"/>
      <c r="N45" s="391"/>
      <c r="O45" s="391"/>
      <c r="P45" s="391">
        <f t="shared" si="3"/>
        <v>0</v>
      </c>
      <c r="Q45" s="391"/>
      <c r="R45" s="391"/>
      <c r="S45" s="391"/>
      <c r="T45" s="391"/>
      <c r="U45" s="391"/>
      <c r="V45" s="391">
        <v>1752</v>
      </c>
      <c r="W45" s="391">
        <v>2257</v>
      </c>
    </row>
    <row r="46" spans="1:23" ht="24" hidden="1">
      <c r="A46" s="324" t="s">
        <v>286</v>
      </c>
      <c r="B46" s="122" t="s">
        <v>154</v>
      </c>
      <c r="C46" s="115" t="s">
        <v>270</v>
      </c>
      <c r="D46" s="115" t="s">
        <v>19</v>
      </c>
      <c r="E46" s="115" t="s">
        <v>63</v>
      </c>
      <c r="F46" s="115" t="s">
        <v>58</v>
      </c>
      <c r="G46" s="115" t="s">
        <v>14</v>
      </c>
      <c r="H46" s="115" t="s">
        <v>15</v>
      </c>
      <c r="I46" s="115" t="s">
        <v>16</v>
      </c>
      <c r="J46" s="115" t="s">
        <v>65</v>
      </c>
      <c r="K46" s="64">
        <f>K47</f>
        <v>4300</v>
      </c>
      <c r="L46" s="64">
        <f aca="true" t="shared" si="9" ref="L46:W46">L47</f>
        <v>1050</v>
      </c>
      <c r="M46" s="64">
        <f t="shared" si="9"/>
        <v>1050</v>
      </c>
      <c r="N46" s="64">
        <f t="shared" si="9"/>
        <v>1050</v>
      </c>
      <c r="O46" s="64">
        <f t="shared" si="9"/>
        <v>1050</v>
      </c>
      <c r="P46" s="64">
        <f t="shared" si="9"/>
        <v>4200</v>
      </c>
      <c r="Q46" s="64">
        <f t="shared" si="9"/>
        <v>0</v>
      </c>
      <c r="R46" s="64">
        <f t="shared" si="9"/>
        <v>0</v>
      </c>
      <c r="S46" s="64">
        <f t="shared" si="9"/>
        <v>0</v>
      </c>
      <c r="T46" s="64">
        <f t="shared" si="9"/>
        <v>0</v>
      </c>
      <c r="U46" s="64">
        <f t="shared" si="9"/>
        <v>0</v>
      </c>
      <c r="V46" s="64">
        <f t="shared" si="9"/>
        <v>4499</v>
      </c>
      <c r="W46" s="64">
        <f t="shared" si="9"/>
        <v>6474</v>
      </c>
    </row>
    <row r="47" spans="1:23" ht="24">
      <c r="A47" s="77"/>
      <c r="B47" s="112" t="s">
        <v>330</v>
      </c>
      <c r="C47" s="46" t="s">
        <v>270</v>
      </c>
      <c r="D47" s="46" t="s">
        <v>19</v>
      </c>
      <c r="E47" s="46" t="s">
        <v>63</v>
      </c>
      <c r="F47" s="46" t="s">
        <v>58</v>
      </c>
      <c r="G47" s="46" t="s">
        <v>153</v>
      </c>
      <c r="H47" s="46" t="s">
        <v>38</v>
      </c>
      <c r="I47" s="46" t="s">
        <v>16</v>
      </c>
      <c r="J47" s="46" t="s">
        <v>65</v>
      </c>
      <c r="K47" s="251">
        <v>4300</v>
      </c>
      <c r="L47" s="391">
        <v>1050</v>
      </c>
      <c r="M47" s="391">
        <v>1050</v>
      </c>
      <c r="N47" s="391">
        <v>1050</v>
      </c>
      <c r="O47" s="391">
        <v>1050</v>
      </c>
      <c r="P47" s="391">
        <f t="shared" si="3"/>
        <v>4200</v>
      </c>
      <c r="Q47" s="391"/>
      <c r="R47" s="391"/>
      <c r="S47" s="391"/>
      <c r="T47" s="391"/>
      <c r="U47" s="391"/>
      <c r="V47" s="391">
        <v>4499</v>
      </c>
      <c r="W47" s="391">
        <v>6474</v>
      </c>
    </row>
    <row r="48" spans="1:23" ht="12.75">
      <c r="A48" s="320">
        <v>5</v>
      </c>
      <c r="B48" s="328" t="s">
        <v>69</v>
      </c>
      <c r="C48" s="44" t="s">
        <v>14</v>
      </c>
      <c r="D48" s="44" t="s">
        <v>19</v>
      </c>
      <c r="E48" s="44" t="s">
        <v>70</v>
      </c>
      <c r="F48" s="44" t="s">
        <v>15</v>
      </c>
      <c r="G48" s="44" t="s">
        <v>14</v>
      </c>
      <c r="H48" s="44" t="s">
        <v>15</v>
      </c>
      <c r="I48" s="44" t="s">
        <v>16</v>
      </c>
      <c r="J48" s="44" t="s">
        <v>14</v>
      </c>
      <c r="K48" s="249">
        <f>K49</f>
        <v>700</v>
      </c>
      <c r="L48" s="249">
        <f aca="true" t="shared" si="10" ref="L48:W48">L49</f>
        <v>118.8</v>
      </c>
      <c r="M48" s="249">
        <f t="shared" si="10"/>
        <v>118.7</v>
      </c>
      <c r="N48" s="249">
        <f t="shared" si="10"/>
        <v>118.8</v>
      </c>
      <c r="O48" s="249">
        <f t="shared" si="10"/>
        <v>118.7</v>
      </c>
      <c r="P48" s="249">
        <f t="shared" si="10"/>
        <v>475</v>
      </c>
      <c r="Q48" s="249">
        <f t="shared" si="10"/>
        <v>0</v>
      </c>
      <c r="R48" s="249">
        <f t="shared" si="10"/>
        <v>0</v>
      </c>
      <c r="S48" s="249">
        <f t="shared" si="10"/>
        <v>0</v>
      </c>
      <c r="T48" s="249">
        <f t="shared" si="10"/>
        <v>0</v>
      </c>
      <c r="U48" s="249">
        <f t="shared" si="10"/>
        <v>0</v>
      </c>
      <c r="V48" s="249">
        <f t="shared" si="10"/>
        <v>606</v>
      </c>
      <c r="W48" s="249">
        <f t="shared" si="10"/>
        <v>484</v>
      </c>
    </row>
    <row r="49" spans="1:23" ht="12.75">
      <c r="A49" s="324" t="s">
        <v>287</v>
      </c>
      <c r="B49" s="122" t="s">
        <v>72</v>
      </c>
      <c r="C49" s="115" t="s">
        <v>156</v>
      </c>
      <c r="D49" s="115" t="s">
        <v>19</v>
      </c>
      <c r="E49" s="115" t="s">
        <v>70</v>
      </c>
      <c r="F49" s="115" t="s">
        <v>20</v>
      </c>
      <c r="G49" s="115" t="s">
        <v>14</v>
      </c>
      <c r="H49" s="115" t="s">
        <v>20</v>
      </c>
      <c r="I49" s="115" t="s">
        <v>16</v>
      </c>
      <c r="J49" s="115" t="s">
        <v>65</v>
      </c>
      <c r="K49" s="64">
        <v>700</v>
      </c>
      <c r="L49" s="391">
        <v>118.8</v>
      </c>
      <c r="M49" s="391">
        <v>118.7</v>
      </c>
      <c r="N49" s="391">
        <v>118.8</v>
      </c>
      <c r="O49" s="391">
        <v>118.7</v>
      </c>
      <c r="P49" s="391">
        <f t="shared" si="3"/>
        <v>475</v>
      </c>
      <c r="Q49" s="391"/>
      <c r="R49" s="391"/>
      <c r="S49" s="391"/>
      <c r="T49" s="391"/>
      <c r="U49" s="391"/>
      <c r="V49" s="391">
        <v>606</v>
      </c>
      <c r="W49" s="391">
        <v>484</v>
      </c>
    </row>
    <row r="50" spans="1:23" ht="39.75" customHeight="1">
      <c r="A50" s="236" t="s">
        <v>62</v>
      </c>
      <c r="B50" s="112" t="s">
        <v>217</v>
      </c>
      <c r="C50" s="46" t="s">
        <v>270</v>
      </c>
      <c r="D50" s="46" t="s">
        <v>19</v>
      </c>
      <c r="E50" s="46" t="s">
        <v>218</v>
      </c>
      <c r="F50" s="46" t="s">
        <v>23</v>
      </c>
      <c r="G50" s="46" t="s">
        <v>195</v>
      </c>
      <c r="H50" s="46" t="s">
        <v>38</v>
      </c>
      <c r="I50" s="46" t="s">
        <v>16</v>
      </c>
      <c r="J50" s="46" t="s">
        <v>101</v>
      </c>
      <c r="K50" s="64">
        <v>50</v>
      </c>
      <c r="L50" s="391">
        <v>37.5</v>
      </c>
      <c r="M50" s="391">
        <v>37.5</v>
      </c>
      <c r="N50" s="391">
        <v>37.5</v>
      </c>
      <c r="O50" s="391">
        <v>37.5</v>
      </c>
      <c r="P50" s="391">
        <f t="shared" si="3"/>
        <v>150</v>
      </c>
      <c r="Q50" s="391"/>
      <c r="R50" s="391"/>
      <c r="S50" s="391"/>
      <c r="T50" s="391"/>
      <c r="U50" s="391"/>
      <c r="V50" s="391">
        <v>304</v>
      </c>
      <c r="W50" s="391">
        <v>154</v>
      </c>
    </row>
    <row r="51" spans="1:23" ht="39.75" customHeight="1">
      <c r="A51" s="236"/>
      <c r="B51" s="112" t="s">
        <v>352</v>
      </c>
      <c r="C51" s="46" t="s">
        <v>270</v>
      </c>
      <c r="D51" s="46" t="s">
        <v>19</v>
      </c>
      <c r="E51" s="46" t="s">
        <v>218</v>
      </c>
      <c r="F51" s="46" t="s">
        <v>42</v>
      </c>
      <c r="G51" s="46" t="s">
        <v>159</v>
      </c>
      <c r="H51" s="46" t="s">
        <v>38</v>
      </c>
      <c r="I51" s="46" t="s">
        <v>16</v>
      </c>
      <c r="J51" s="46" t="s">
        <v>101</v>
      </c>
      <c r="K51" s="64">
        <v>20352</v>
      </c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</row>
    <row r="52" spans="1:23" ht="12.75">
      <c r="A52" s="236" t="s">
        <v>68</v>
      </c>
      <c r="B52" s="327" t="s">
        <v>113</v>
      </c>
      <c r="C52" s="44" t="s">
        <v>14</v>
      </c>
      <c r="D52" s="44" t="s">
        <v>19</v>
      </c>
      <c r="E52" s="44" t="s">
        <v>114</v>
      </c>
      <c r="F52" s="44" t="s">
        <v>15</v>
      </c>
      <c r="G52" s="44" t="s">
        <v>14</v>
      </c>
      <c r="H52" s="44" t="s">
        <v>15</v>
      </c>
      <c r="I52" s="44" t="s">
        <v>16</v>
      </c>
      <c r="J52" s="44" t="s">
        <v>14</v>
      </c>
      <c r="K52" s="249">
        <f>K53+K54</f>
        <v>4300</v>
      </c>
      <c r="L52" s="249">
        <f aca="true" t="shared" si="11" ref="L52:W52">L53+L54</f>
        <v>87.5</v>
      </c>
      <c r="M52" s="249">
        <f t="shared" si="11"/>
        <v>87.5</v>
      </c>
      <c r="N52" s="249">
        <f t="shared" si="11"/>
        <v>87.5</v>
      </c>
      <c r="O52" s="249">
        <f t="shared" si="11"/>
        <v>87.5</v>
      </c>
      <c r="P52" s="249">
        <f t="shared" si="11"/>
        <v>350</v>
      </c>
      <c r="Q52" s="249">
        <f t="shared" si="11"/>
        <v>6200</v>
      </c>
      <c r="R52" s="249">
        <f t="shared" si="11"/>
        <v>0</v>
      </c>
      <c r="S52" s="249">
        <f t="shared" si="11"/>
        <v>0</v>
      </c>
      <c r="T52" s="249">
        <f t="shared" si="11"/>
        <v>0</v>
      </c>
      <c r="U52" s="249">
        <f t="shared" si="11"/>
        <v>0</v>
      </c>
      <c r="V52" s="249">
        <f t="shared" si="11"/>
        <v>2568</v>
      </c>
      <c r="W52" s="249">
        <f t="shared" si="11"/>
        <v>3702</v>
      </c>
    </row>
    <row r="53" spans="1:23" ht="36">
      <c r="A53" s="236"/>
      <c r="B53" s="87" t="s">
        <v>327</v>
      </c>
      <c r="C53" s="46" t="s">
        <v>14</v>
      </c>
      <c r="D53" s="46" t="s">
        <v>19</v>
      </c>
      <c r="E53" s="46" t="s">
        <v>114</v>
      </c>
      <c r="F53" s="46" t="s">
        <v>23</v>
      </c>
      <c r="G53" s="46" t="s">
        <v>273</v>
      </c>
      <c r="H53" s="46" t="s">
        <v>38</v>
      </c>
      <c r="I53" s="46" t="s">
        <v>16</v>
      </c>
      <c r="J53" s="46" t="s">
        <v>118</v>
      </c>
      <c r="K53" s="64">
        <f>1900</f>
        <v>1900</v>
      </c>
      <c r="L53" s="391">
        <v>87.5</v>
      </c>
      <c r="M53" s="391">
        <v>87.5</v>
      </c>
      <c r="N53" s="391">
        <v>87.5</v>
      </c>
      <c r="O53" s="391">
        <v>87.5</v>
      </c>
      <c r="P53" s="391">
        <f t="shared" si="3"/>
        <v>350</v>
      </c>
      <c r="Q53" s="391">
        <v>6200</v>
      </c>
      <c r="R53" s="391"/>
      <c r="S53" s="391"/>
      <c r="T53" s="391"/>
      <c r="U53" s="391"/>
      <c r="V53" s="391">
        <v>1623</v>
      </c>
      <c r="W53" s="391">
        <v>3702</v>
      </c>
    </row>
    <row r="54" spans="1:23" ht="36">
      <c r="A54" s="236"/>
      <c r="B54" s="87" t="s">
        <v>320</v>
      </c>
      <c r="C54" s="46" t="s">
        <v>14</v>
      </c>
      <c r="D54" s="46" t="s">
        <v>19</v>
      </c>
      <c r="E54" s="46" t="s">
        <v>114</v>
      </c>
      <c r="F54" s="46" t="s">
        <v>46</v>
      </c>
      <c r="G54" s="46" t="s">
        <v>66</v>
      </c>
      <c r="H54" s="46" t="s">
        <v>112</v>
      </c>
      <c r="I54" s="46" t="s">
        <v>16</v>
      </c>
      <c r="J54" s="46" t="s">
        <v>347</v>
      </c>
      <c r="K54" s="64">
        <f>400+1000+1000</f>
        <v>2400</v>
      </c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>
        <v>945</v>
      </c>
      <c r="W54" s="391">
        <v>0</v>
      </c>
    </row>
    <row r="55" spans="1:23" ht="12.75">
      <c r="A55" s="236" t="s">
        <v>80</v>
      </c>
      <c r="B55" s="328" t="s">
        <v>81</v>
      </c>
      <c r="C55" s="44" t="s">
        <v>14</v>
      </c>
      <c r="D55" s="44" t="s">
        <v>19</v>
      </c>
      <c r="E55" s="44" t="s">
        <v>82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49">
        <v>3140</v>
      </c>
      <c r="L55" s="233">
        <f aca="true" t="shared" si="12" ref="L55:U55">L56+L57+L58+L59+L60+L61+L62</f>
        <v>0</v>
      </c>
      <c r="M55" s="233">
        <f t="shared" si="12"/>
        <v>0</v>
      </c>
      <c r="N55" s="233">
        <f t="shared" si="12"/>
        <v>0</v>
      </c>
      <c r="O55" s="233">
        <f t="shared" si="12"/>
        <v>0</v>
      </c>
      <c r="P55" s="233">
        <f t="shared" si="12"/>
        <v>0</v>
      </c>
      <c r="Q55" s="233">
        <f t="shared" si="12"/>
        <v>0</v>
      </c>
      <c r="R55" s="233">
        <f t="shared" si="12"/>
        <v>0</v>
      </c>
      <c r="S55" s="233">
        <f t="shared" si="12"/>
        <v>0</v>
      </c>
      <c r="T55" s="233">
        <f t="shared" si="12"/>
        <v>0</v>
      </c>
      <c r="U55" s="233">
        <f t="shared" si="12"/>
        <v>0</v>
      </c>
      <c r="V55" s="233">
        <v>3100</v>
      </c>
      <c r="W55" s="233">
        <v>3701</v>
      </c>
    </row>
    <row r="56" spans="1:23" ht="25.5">
      <c r="A56" s="325" t="s">
        <v>288</v>
      </c>
      <c r="B56" s="372" t="s">
        <v>274</v>
      </c>
      <c r="C56" s="371" t="s">
        <v>26</v>
      </c>
      <c r="D56" s="371" t="s">
        <v>19</v>
      </c>
      <c r="E56" s="371" t="s">
        <v>82</v>
      </c>
      <c r="F56" s="371" t="s">
        <v>42</v>
      </c>
      <c r="G56" s="371" t="s">
        <v>14</v>
      </c>
      <c r="H56" s="371" t="s">
        <v>20</v>
      </c>
      <c r="I56" s="371" t="s">
        <v>16</v>
      </c>
      <c r="J56" s="371" t="s">
        <v>272</v>
      </c>
      <c r="K56" s="249">
        <v>20</v>
      </c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>
        <v>47</v>
      </c>
    </row>
    <row r="57" spans="1:23" ht="51">
      <c r="A57" s="325" t="s">
        <v>289</v>
      </c>
      <c r="B57" s="372" t="s">
        <v>275</v>
      </c>
      <c r="C57" s="371" t="s">
        <v>26</v>
      </c>
      <c r="D57" s="371" t="s">
        <v>19</v>
      </c>
      <c r="E57" s="371" t="s">
        <v>82</v>
      </c>
      <c r="F57" s="371" t="s">
        <v>46</v>
      </c>
      <c r="G57" s="371" t="s">
        <v>14</v>
      </c>
      <c r="H57" s="371" t="s">
        <v>20</v>
      </c>
      <c r="I57" s="371" t="s">
        <v>16</v>
      </c>
      <c r="J57" s="371" t="s">
        <v>272</v>
      </c>
      <c r="K57" s="249">
        <v>50</v>
      </c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>
        <v>65</v>
      </c>
    </row>
    <row r="58" spans="1:23" ht="38.25">
      <c r="A58" s="325" t="s">
        <v>290</v>
      </c>
      <c r="B58" s="372" t="s">
        <v>336</v>
      </c>
      <c r="C58" s="371" t="s">
        <v>14</v>
      </c>
      <c r="D58" s="371" t="s">
        <v>19</v>
      </c>
      <c r="E58" s="371" t="s">
        <v>82</v>
      </c>
      <c r="F58" s="371" t="s">
        <v>52</v>
      </c>
      <c r="G58" s="371" t="s">
        <v>14</v>
      </c>
      <c r="H58" s="371" t="s">
        <v>20</v>
      </c>
      <c r="I58" s="371" t="s">
        <v>16</v>
      </c>
      <c r="J58" s="371" t="s">
        <v>272</v>
      </c>
      <c r="K58" s="249">
        <v>20</v>
      </c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>
        <v>2</v>
      </c>
    </row>
    <row r="59" spans="1:23" ht="25.5">
      <c r="A59" s="325"/>
      <c r="B59" s="372" t="s">
        <v>337</v>
      </c>
      <c r="C59" s="371" t="s">
        <v>14</v>
      </c>
      <c r="D59" s="371" t="s">
        <v>19</v>
      </c>
      <c r="E59" s="371" t="s">
        <v>82</v>
      </c>
      <c r="F59" s="371" t="s">
        <v>338</v>
      </c>
      <c r="G59" s="371" t="s">
        <v>85</v>
      </c>
      <c r="H59" s="371" t="s">
        <v>20</v>
      </c>
      <c r="I59" s="371" t="s">
        <v>16</v>
      </c>
      <c r="J59" s="371" t="s">
        <v>272</v>
      </c>
      <c r="K59" s="249">
        <v>30</v>
      </c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>
        <v>115</v>
      </c>
    </row>
    <row r="60" spans="1:23" ht="51">
      <c r="A60" s="325" t="s">
        <v>291</v>
      </c>
      <c r="B60" s="372" t="s">
        <v>276</v>
      </c>
      <c r="C60" s="371" t="s">
        <v>14</v>
      </c>
      <c r="D60" s="371" t="s">
        <v>19</v>
      </c>
      <c r="E60" s="371" t="s">
        <v>82</v>
      </c>
      <c r="F60" s="371" t="s">
        <v>277</v>
      </c>
      <c r="G60" s="371" t="s">
        <v>14</v>
      </c>
      <c r="H60" s="371" t="s">
        <v>20</v>
      </c>
      <c r="I60" s="371" t="s">
        <v>16</v>
      </c>
      <c r="J60" s="371" t="s">
        <v>272</v>
      </c>
      <c r="K60" s="249">
        <v>20</v>
      </c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</row>
    <row r="61" spans="1:23" ht="25.5">
      <c r="A61" s="325" t="s">
        <v>292</v>
      </c>
      <c r="B61" s="372" t="s">
        <v>278</v>
      </c>
      <c r="C61" s="371" t="s">
        <v>335</v>
      </c>
      <c r="D61" s="371" t="s">
        <v>19</v>
      </c>
      <c r="E61" s="371" t="s">
        <v>82</v>
      </c>
      <c r="F61" s="371" t="s">
        <v>279</v>
      </c>
      <c r="G61" s="371" t="s">
        <v>14</v>
      </c>
      <c r="H61" s="371" t="s">
        <v>20</v>
      </c>
      <c r="I61" s="371" t="s">
        <v>16</v>
      </c>
      <c r="J61" s="371" t="s">
        <v>272</v>
      </c>
      <c r="K61" s="249">
        <v>2500</v>
      </c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</row>
    <row r="62" spans="1:23" ht="42.75" customHeight="1">
      <c r="A62" s="325" t="s">
        <v>293</v>
      </c>
      <c r="B62" s="372" t="s">
        <v>328</v>
      </c>
      <c r="C62" s="371" t="s">
        <v>14</v>
      </c>
      <c r="D62" s="371" t="s">
        <v>19</v>
      </c>
      <c r="E62" s="371" t="s">
        <v>82</v>
      </c>
      <c r="F62" s="371" t="s">
        <v>158</v>
      </c>
      <c r="G62" s="371" t="s">
        <v>14</v>
      </c>
      <c r="H62" s="371" t="s">
        <v>15</v>
      </c>
      <c r="I62" s="371" t="s">
        <v>16</v>
      </c>
      <c r="J62" s="371" t="s">
        <v>272</v>
      </c>
      <c r="K62" s="249">
        <f>55+445</f>
        <v>500</v>
      </c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</row>
    <row r="63" spans="1:23" ht="25.5" hidden="1">
      <c r="A63" s="236" t="s">
        <v>111</v>
      </c>
      <c r="B63" s="328" t="s">
        <v>260</v>
      </c>
      <c r="C63" s="44" t="s">
        <v>66</v>
      </c>
      <c r="D63" s="44" t="s">
        <v>19</v>
      </c>
      <c r="E63" s="44" t="s">
        <v>84</v>
      </c>
      <c r="F63" s="44" t="s">
        <v>38</v>
      </c>
      <c r="G63" s="44" t="s">
        <v>159</v>
      </c>
      <c r="H63" s="44" t="s">
        <v>38</v>
      </c>
      <c r="I63" s="44" t="s">
        <v>16</v>
      </c>
      <c r="J63" s="44" t="s">
        <v>86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0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9">
        <v>178.5</v>
      </c>
      <c r="W63" s="249">
        <v>207</v>
      </c>
    </row>
    <row r="64" spans="1:23" ht="12.75">
      <c r="A64" s="236" t="s">
        <v>87</v>
      </c>
      <c r="B64" s="369" t="s">
        <v>88</v>
      </c>
      <c r="C64" s="44" t="s">
        <v>14</v>
      </c>
      <c r="D64" s="44" t="s">
        <v>89</v>
      </c>
      <c r="E64" s="44" t="s">
        <v>15</v>
      </c>
      <c r="F64" s="44" t="s">
        <v>15</v>
      </c>
      <c r="G64" s="44" t="s">
        <v>14</v>
      </c>
      <c r="H64" s="44" t="s">
        <v>15</v>
      </c>
      <c r="I64" s="44" t="s">
        <v>16</v>
      </c>
      <c r="J64" s="44" t="s">
        <v>14</v>
      </c>
      <c r="K64" s="233">
        <f>K65+K110</f>
        <v>280665</v>
      </c>
      <c r="L64" s="233" t="e">
        <f aca="true" t="shared" si="13" ref="L64:W64">L66+L69+L92+L108</f>
        <v>#REF!</v>
      </c>
      <c r="M64" s="233" t="e">
        <f t="shared" si="13"/>
        <v>#REF!</v>
      </c>
      <c r="N64" s="233" t="e">
        <f t="shared" si="13"/>
        <v>#REF!</v>
      </c>
      <c r="O64" s="233" t="e">
        <f t="shared" si="13"/>
        <v>#REF!</v>
      </c>
      <c r="P64" s="233" t="e">
        <f t="shared" si="13"/>
        <v>#REF!</v>
      </c>
      <c r="Q64" s="233" t="e">
        <f t="shared" si="13"/>
        <v>#REF!</v>
      </c>
      <c r="R64" s="233" t="e">
        <f t="shared" si="13"/>
        <v>#REF!</v>
      </c>
      <c r="S64" s="233" t="e">
        <f t="shared" si="13"/>
        <v>#REF!</v>
      </c>
      <c r="T64" s="233" t="e">
        <f t="shared" si="13"/>
        <v>#REF!</v>
      </c>
      <c r="U64" s="233" t="e">
        <f t="shared" si="13"/>
        <v>#REF!</v>
      </c>
      <c r="V64" s="233" t="e">
        <f t="shared" si="13"/>
        <v>#REF!</v>
      </c>
      <c r="W64" s="233" t="e">
        <f t="shared" si="13"/>
        <v>#REF!</v>
      </c>
    </row>
    <row r="65" spans="1:23" ht="12.75">
      <c r="A65" s="321"/>
      <c r="B65" s="105" t="s">
        <v>90</v>
      </c>
      <c r="C65" s="44" t="s">
        <v>14</v>
      </c>
      <c r="D65" s="44" t="s">
        <v>89</v>
      </c>
      <c r="E65" s="44" t="s">
        <v>23</v>
      </c>
      <c r="F65" s="44" t="s">
        <v>15</v>
      </c>
      <c r="G65" s="44" t="s">
        <v>14</v>
      </c>
      <c r="H65" s="44" t="s">
        <v>15</v>
      </c>
      <c r="I65" s="44" t="s">
        <v>16</v>
      </c>
      <c r="J65" s="44" t="s">
        <v>14</v>
      </c>
      <c r="K65" s="233">
        <f>K66+K69+K89</f>
        <v>276606</v>
      </c>
      <c r="L65" s="233" t="e">
        <f aca="true" t="shared" si="14" ref="L65:W65">L66+L69</f>
        <v>#REF!</v>
      </c>
      <c r="M65" s="233" t="e">
        <f t="shared" si="14"/>
        <v>#REF!</v>
      </c>
      <c r="N65" s="233" t="e">
        <f t="shared" si="14"/>
        <v>#REF!</v>
      </c>
      <c r="O65" s="233" t="e">
        <f t="shared" si="14"/>
        <v>#REF!</v>
      </c>
      <c r="P65" s="233" t="e">
        <f t="shared" si="14"/>
        <v>#REF!</v>
      </c>
      <c r="Q65" s="233" t="e">
        <f t="shared" si="14"/>
        <v>#REF!</v>
      </c>
      <c r="R65" s="233" t="e">
        <f t="shared" si="14"/>
        <v>#REF!</v>
      </c>
      <c r="S65" s="233" t="e">
        <f t="shared" si="14"/>
        <v>#REF!</v>
      </c>
      <c r="T65" s="233" t="e">
        <f t="shared" si="14"/>
        <v>#REF!</v>
      </c>
      <c r="U65" s="233" t="e">
        <f t="shared" si="14"/>
        <v>#REF!</v>
      </c>
      <c r="V65" s="233" t="e">
        <f t="shared" si="14"/>
        <v>#REF!</v>
      </c>
      <c r="W65" s="233" t="e">
        <f t="shared" si="14"/>
        <v>#REF!</v>
      </c>
    </row>
    <row r="66" spans="1:23" ht="12.75">
      <c r="A66" s="329" t="s">
        <v>17</v>
      </c>
      <c r="B66" s="105" t="s">
        <v>161</v>
      </c>
      <c r="C66" s="44" t="s">
        <v>14</v>
      </c>
      <c r="D66" s="44" t="s">
        <v>89</v>
      </c>
      <c r="E66" s="44" t="s">
        <v>23</v>
      </c>
      <c r="F66" s="44" t="s">
        <v>20</v>
      </c>
      <c r="G66" s="44" t="s">
        <v>264</v>
      </c>
      <c r="H66" s="44" t="s">
        <v>15</v>
      </c>
      <c r="I66" s="44" t="s">
        <v>16</v>
      </c>
      <c r="J66" s="44" t="s">
        <v>91</v>
      </c>
      <c r="K66" s="249">
        <f>K68</f>
        <v>72971</v>
      </c>
      <c r="L66" s="249" t="e">
        <f>L67+L68+#REF!</f>
        <v>#REF!</v>
      </c>
      <c r="M66" s="249" t="e">
        <f>M67+M68+#REF!</f>
        <v>#REF!</v>
      </c>
      <c r="N66" s="249" t="e">
        <f>N67+N68+#REF!</f>
        <v>#REF!</v>
      </c>
      <c r="O66" s="249" t="e">
        <f>O67+O68+#REF!</f>
        <v>#REF!</v>
      </c>
      <c r="P66" s="249" t="e">
        <f>P67+P68+#REF!</f>
        <v>#REF!</v>
      </c>
      <c r="Q66" s="249" t="e">
        <f>Q67+Q68+#REF!</f>
        <v>#REF!</v>
      </c>
      <c r="R66" s="249" t="e">
        <f>R67+R68+#REF!</f>
        <v>#REF!</v>
      </c>
      <c r="S66" s="249" t="e">
        <f>S67+S68+#REF!</f>
        <v>#REF!</v>
      </c>
      <c r="T66" s="249" t="e">
        <f>T67+T68+#REF!</f>
        <v>#REF!</v>
      </c>
      <c r="U66" s="249" t="e">
        <f>U67+U68+#REF!</f>
        <v>#REF!</v>
      </c>
      <c r="V66" s="249" t="e">
        <f>V67+V68+#REF!</f>
        <v>#REF!</v>
      </c>
      <c r="W66" s="249" t="e">
        <f>W67+W68+#REF!</f>
        <v>#REF!</v>
      </c>
    </row>
    <row r="67" spans="1:23" ht="24" hidden="1">
      <c r="A67" s="325" t="s">
        <v>102</v>
      </c>
      <c r="B67" s="135" t="s">
        <v>160</v>
      </c>
      <c r="C67" s="371" t="s">
        <v>14</v>
      </c>
      <c r="D67" s="371" t="s">
        <v>89</v>
      </c>
      <c r="E67" s="371" t="s">
        <v>23</v>
      </c>
      <c r="F67" s="371" t="s">
        <v>20</v>
      </c>
      <c r="G67" s="371" t="s">
        <v>27</v>
      </c>
      <c r="H67" s="371" t="s">
        <v>112</v>
      </c>
      <c r="I67" s="371" t="s">
        <v>16</v>
      </c>
      <c r="J67" s="371" t="s">
        <v>91</v>
      </c>
      <c r="K67" s="249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</row>
    <row r="68" spans="1:23" ht="22.5" customHeight="1">
      <c r="A68" s="325" t="s">
        <v>21</v>
      </c>
      <c r="B68" s="135" t="s">
        <v>321</v>
      </c>
      <c r="C68" s="371" t="s">
        <v>265</v>
      </c>
      <c r="D68" s="371" t="s">
        <v>89</v>
      </c>
      <c r="E68" s="371" t="s">
        <v>23</v>
      </c>
      <c r="F68" s="371" t="s">
        <v>20</v>
      </c>
      <c r="G68" s="371" t="s">
        <v>264</v>
      </c>
      <c r="H68" s="371" t="s">
        <v>38</v>
      </c>
      <c r="I68" s="371" t="s">
        <v>16</v>
      </c>
      <c r="J68" s="371" t="s">
        <v>91</v>
      </c>
      <c r="K68" s="361">
        <v>72971</v>
      </c>
      <c r="L68" s="391">
        <f>14236+2200</f>
        <v>16436</v>
      </c>
      <c r="M68" s="391">
        <f>14237+392</f>
        <v>14629</v>
      </c>
      <c r="N68" s="391">
        <f>14237+261</f>
        <v>14498</v>
      </c>
      <c r="O68" s="391">
        <f>14237+426</f>
        <v>14663</v>
      </c>
      <c r="P68" s="391">
        <f>L68+M68+N68+O68</f>
        <v>60226</v>
      </c>
      <c r="Q68" s="391"/>
      <c r="R68" s="391"/>
      <c r="S68" s="391"/>
      <c r="T68" s="391"/>
      <c r="U68" s="391"/>
      <c r="V68" s="391">
        <v>78861</v>
      </c>
      <c r="W68" s="391">
        <v>81227</v>
      </c>
    </row>
    <row r="69" spans="1:23" ht="12.75">
      <c r="A69" s="236" t="s">
        <v>36</v>
      </c>
      <c r="B69" s="105" t="s">
        <v>252</v>
      </c>
      <c r="C69" s="44" t="s">
        <v>14</v>
      </c>
      <c r="D69" s="44" t="s">
        <v>89</v>
      </c>
      <c r="E69" s="44" t="s">
        <v>23</v>
      </c>
      <c r="F69" s="44" t="s">
        <v>42</v>
      </c>
      <c r="G69" s="44" t="s">
        <v>14</v>
      </c>
      <c r="H69" s="44" t="s">
        <v>15</v>
      </c>
      <c r="I69" s="44" t="s">
        <v>16</v>
      </c>
      <c r="J69" s="44" t="s">
        <v>91</v>
      </c>
      <c r="K69" s="359">
        <f>K70+K71+K72+K73+K74+K75+K76+K77+K78+K79+K80+K82+K83+K85+K87+K88+K84</f>
        <v>201635</v>
      </c>
      <c r="L69" s="249" t="e">
        <f>L72+L73+#REF!+L74+L75+L76+L77+L78+L79+L80+L81+L85+L86+#REF!+L88+#REF!+L89</f>
        <v>#REF!</v>
      </c>
      <c r="M69" s="249" t="e">
        <f>M72+M73+#REF!+M74+M75+M76+M77+M78+M79+M80+M81+M85+M86+#REF!+M88+#REF!+M89</f>
        <v>#REF!</v>
      </c>
      <c r="N69" s="249" t="e">
        <f>N72+N73+#REF!+N74+N75+N76+N77+N78+N79+N80+N81+N85+N86+#REF!+N88+#REF!+N89</f>
        <v>#REF!</v>
      </c>
      <c r="O69" s="249" t="e">
        <f>O72+O73+#REF!+O74+O75+O76+O77+O78+O79+O80+O81+O85+O86+#REF!+O88+#REF!+O89</f>
        <v>#REF!</v>
      </c>
      <c r="P69" s="391" t="e">
        <f aca="true" t="shared" si="15" ref="P69:P115">L69+M69+N69+O69</f>
        <v>#REF!</v>
      </c>
      <c r="Q69" s="391"/>
      <c r="R69" s="391"/>
      <c r="S69" s="391"/>
      <c r="T69" s="391"/>
      <c r="U69" s="391"/>
      <c r="V69" s="391"/>
      <c r="W69" s="391"/>
    </row>
    <row r="70" spans="1:23" ht="41.25" customHeight="1">
      <c r="A70" s="41"/>
      <c r="B70" s="93" t="s">
        <v>350</v>
      </c>
      <c r="C70" s="46" t="s">
        <v>270</v>
      </c>
      <c r="D70" s="46" t="s">
        <v>89</v>
      </c>
      <c r="E70" s="46" t="s">
        <v>23</v>
      </c>
      <c r="F70" s="46" t="s">
        <v>42</v>
      </c>
      <c r="G70" s="46" t="s">
        <v>348</v>
      </c>
      <c r="H70" s="46" t="s">
        <v>38</v>
      </c>
      <c r="I70" s="46" t="s">
        <v>16</v>
      </c>
      <c r="J70" s="46" t="s">
        <v>91</v>
      </c>
      <c r="K70" s="361">
        <v>786</v>
      </c>
      <c r="L70" s="391"/>
      <c r="M70" s="391"/>
      <c r="N70" s="391"/>
      <c r="O70" s="391"/>
      <c r="P70" s="393"/>
      <c r="Q70" s="391"/>
      <c r="R70" s="391"/>
      <c r="S70" s="391"/>
      <c r="T70" s="391"/>
      <c r="U70" s="391"/>
      <c r="V70" s="391"/>
      <c r="W70" s="391"/>
    </row>
    <row r="71" spans="1:23" ht="24">
      <c r="A71" s="41" t="s">
        <v>301</v>
      </c>
      <c r="B71" s="93" t="s">
        <v>254</v>
      </c>
      <c r="C71" s="46" t="s">
        <v>270</v>
      </c>
      <c r="D71" s="46" t="s">
        <v>89</v>
      </c>
      <c r="E71" s="46" t="s">
        <v>23</v>
      </c>
      <c r="F71" s="46" t="s">
        <v>42</v>
      </c>
      <c r="G71" s="46" t="s">
        <v>31</v>
      </c>
      <c r="H71" s="46" t="s">
        <v>38</v>
      </c>
      <c r="I71" s="46" t="s">
        <v>16</v>
      </c>
      <c r="J71" s="46" t="s">
        <v>91</v>
      </c>
      <c r="K71" s="361">
        <v>3123</v>
      </c>
      <c r="L71" s="391">
        <f>842+46</f>
        <v>888</v>
      </c>
      <c r="M71" s="391">
        <f>1464+112</f>
        <v>1576</v>
      </c>
      <c r="N71" s="391">
        <f>513+0</f>
        <v>513</v>
      </c>
      <c r="O71" s="391">
        <f>842+124</f>
        <v>966</v>
      </c>
      <c r="P71" s="393">
        <f>L71+M71+N71+O71</f>
        <v>3943</v>
      </c>
      <c r="Q71" s="391"/>
      <c r="R71" s="391"/>
      <c r="S71" s="391"/>
      <c r="T71" s="391"/>
      <c r="U71" s="391"/>
      <c r="V71" s="391"/>
      <c r="W71" s="391"/>
    </row>
    <row r="72" spans="1:23" ht="120" customHeight="1">
      <c r="A72" s="41" t="s">
        <v>39</v>
      </c>
      <c r="B72" s="92" t="s">
        <v>136</v>
      </c>
      <c r="C72" s="46" t="s">
        <v>270</v>
      </c>
      <c r="D72" s="46" t="s">
        <v>89</v>
      </c>
      <c r="E72" s="46" t="s">
        <v>23</v>
      </c>
      <c r="F72" s="46" t="s">
        <v>42</v>
      </c>
      <c r="G72" s="46" t="s">
        <v>195</v>
      </c>
      <c r="H72" s="46" t="s">
        <v>38</v>
      </c>
      <c r="I72" s="46" t="s">
        <v>16</v>
      </c>
      <c r="J72" s="46" t="s">
        <v>91</v>
      </c>
      <c r="K72" s="360">
        <v>147212</v>
      </c>
      <c r="L72" s="391">
        <f>23462+1235</f>
        <v>24697</v>
      </c>
      <c r="M72" s="391">
        <f>40804+2148</f>
        <v>42952</v>
      </c>
      <c r="N72" s="391">
        <f>14281+752</f>
        <v>15033</v>
      </c>
      <c r="O72" s="391">
        <f>23462+1234</f>
        <v>24696</v>
      </c>
      <c r="P72" s="391">
        <f t="shared" si="15"/>
        <v>107378</v>
      </c>
      <c r="Q72" s="391"/>
      <c r="R72" s="391"/>
      <c r="S72" s="391"/>
      <c r="T72" s="391"/>
      <c r="U72" s="391"/>
      <c r="V72" s="391"/>
      <c r="W72" s="391"/>
    </row>
    <row r="73" spans="1:23" ht="36">
      <c r="A73" s="41" t="s">
        <v>41</v>
      </c>
      <c r="B73" s="92" t="s">
        <v>137</v>
      </c>
      <c r="C73" s="46" t="s">
        <v>270</v>
      </c>
      <c r="D73" s="46" t="s">
        <v>89</v>
      </c>
      <c r="E73" s="46" t="s">
        <v>23</v>
      </c>
      <c r="F73" s="46" t="s">
        <v>42</v>
      </c>
      <c r="G73" s="46" t="s">
        <v>195</v>
      </c>
      <c r="H73" s="46" t="s">
        <v>38</v>
      </c>
      <c r="I73" s="46" t="s">
        <v>16</v>
      </c>
      <c r="J73" s="46" t="s">
        <v>91</v>
      </c>
      <c r="K73" s="360">
        <v>314</v>
      </c>
      <c r="L73" s="391">
        <f>50+3</f>
        <v>53</v>
      </c>
      <c r="M73" s="391">
        <f>50+3</f>
        <v>53</v>
      </c>
      <c r="N73" s="391">
        <f>50+2</f>
        <v>52</v>
      </c>
      <c r="O73" s="391">
        <f>51+3</f>
        <v>54</v>
      </c>
      <c r="P73" s="391">
        <f t="shared" si="15"/>
        <v>212</v>
      </c>
      <c r="Q73" s="391"/>
      <c r="R73" s="391"/>
      <c r="S73" s="391"/>
      <c r="T73" s="391"/>
      <c r="U73" s="391"/>
      <c r="V73" s="391"/>
      <c r="W73" s="391"/>
    </row>
    <row r="74" spans="1:23" ht="27.75" customHeight="1">
      <c r="A74" s="41" t="s">
        <v>95</v>
      </c>
      <c r="B74" s="93" t="s">
        <v>139</v>
      </c>
      <c r="C74" s="46" t="s">
        <v>270</v>
      </c>
      <c r="D74" s="46" t="s">
        <v>89</v>
      </c>
      <c r="E74" s="46" t="s">
        <v>23</v>
      </c>
      <c r="F74" s="46" t="s">
        <v>42</v>
      </c>
      <c r="G74" s="46" t="s">
        <v>195</v>
      </c>
      <c r="H74" s="46" t="s">
        <v>38</v>
      </c>
      <c r="I74" s="46" t="s">
        <v>16</v>
      </c>
      <c r="J74" s="46" t="s">
        <v>91</v>
      </c>
      <c r="K74" s="360">
        <v>910</v>
      </c>
      <c r="L74" s="391">
        <v>12</v>
      </c>
      <c r="M74" s="391">
        <v>12</v>
      </c>
      <c r="N74" s="391">
        <f>11+1</f>
        <v>12</v>
      </c>
      <c r="O74" s="391">
        <f>12+1</f>
        <v>13</v>
      </c>
      <c r="P74" s="393">
        <f t="shared" si="15"/>
        <v>49</v>
      </c>
      <c r="Q74" s="391"/>
      <c r="R74" s="391"/>
      <c r="S74" s="391"/>
      <c r="T74" s="391"/>
      <c r="U74" s="391"/>
      <c r="V74" s="391"/>
      <c r="W74" s="391"/>
    </row>
    <row r="75" spans="1:23" ht="48">
      <c r="A75" s="41" t="s">
        <v>109</v>
      </c>
      <c r="B75" s="93" t="s">
        <v>140</v>
      </c>
      <c r="C75" s="46" t="s">
        <v>270</v>
      </c>
      <c r="D75" s="46" t="s">
        <v>89</v>
      </c>
      <c r="E75" s="46" t="s">
        <v>23</v>
      </c>
      <c r="F75" s="46" t="s">
        <v>42</v>
      </c>
      <c r="G75" s="46" t="s">
        <v>195</v>
      </c>
      <c r="H75" s="46" t="s">
        <v>38</v>
      </c>
      <c r="I75" s="46" t="s">
        <v>16</v>
      </c>
      <c r="J75" s="46" t="s">
        <v>91</v>
      </c>
      <c r="K75" s="360">
        <v>3682</v>
      </c>
      <c r="L75" s="391">
        <f>473+25</f>
        <v>498</v>
      </c>
      <c r="M75" s="391">
        <f>473+25</f>
        <v>498</v>
      </c>
      <c r="N75" s="391">
        <f>474+25</f>
        <v>499</v>
      </c>
      <c r="O75" s="391">
        <f>474+25</f>
        <v>499</v>
      </c>
      <c r="P75" s="393">
        <f t="shared" si="15"/>
        <v>1994</v>
      </c>
      <c r="Q75" s="391"/>
      <c r="R75" s="391"/>
      <c r="S75" s="391"/>
      <c r="T75" s="391"/>
      <c r="U75" s="391"/>
      <c r="V75" s="391"/>
      <c r="W75" s="391"/>
    </row>
    <row r="76" spans="1:23" ht="60">
      <c r="A76" s="41" t="s">
        <v>110</v>
      </c>
      <c r="B76" s="93" t="s">
        <v>141</v>
      </c>
      <c r="C76" s="46" t="s">
        <v>270</v>
      </c>
      <c r="D76" s="46" t="s">
        <v>89</v>
      </c>
      <c r="E76" s="46" t="s">
        <v>23</v>
      </c>
      <c r="F76" s="46" t="s">
        <v>42</v>
      </c>
      <c r="G76" s="46" t="s">
        <v>195</v>
      </c>
      <c r="H76" s="46" t="s">
        <v>38</v>
      </c>
      <c r="I76" s="46" t="s">
        <v>16</v>
      </c>
      <c r="J76" s="46" t="s">
        <v>91</v>
      </c>
      <c r="K76" s="360">
        <v>15477</v>
      </c>
      <c r="L76" s="391">
        <f>1622+85</f>
        <v>1707</v>
      </c>
      <c r="M76" s="391">
        <f>1725+91</f>
        <v>1816</v>
      </c>
      <c r="N76" s="391">
        <f>1829+96</f>
        <v>1925</v>
      </c>
      <c r="O76" s="391">
        <f>1310+69</f>
        <v>1379</v>
      </c>
      <c r="P76" s="393">
        <f t="shared" si="15"/>
        <v>6827</v>
      </c>
      <c r="Q76" s="391"/>
      <c r="R76" s="391"/>
      <c r="S76" s="391"/>
      <c r="T76" s="391"/>
      <c r="U76" s="391"/>
      <c r="V76" s="391"/>
      <c r="W76" s="391"/>
    </row>
    <row r="77" spans="1:23" ht="48">
      <c r="A77" s="41" t="s">
        <v>294</v>
      </c>
      <c r="B77" s="93" t="s">
        <v>142</v>
      </c>
      <c r="C77" s="46" t="s">
        <v>270</v>
      </c>
      <c r="D77" s="46" t="s">
        <v>89</v>
      </c>
      <c r="E77" s="46" t="s">
        <v>23</v>
      </c>
      <c r="F77" s="46" t="s">
        <v>42</v>
      </c>
      <c r="G77" s="46" t="s">
        <v>195</v>
      </c>
      <c r="H77" s="46" t="s">
        <v>38</v>
      </c>
      <c r="I77" s="46" t="s">
        <v>16</v>
      </c>
      <c r="J77" s="46" t="s">
        <v>91</v>
      </c>
      <c r="K77" s="360">
        <v>13930</v>
      </c>
      <c r="L77" s="391">
        <f>1844+97</f>
        <v>1941</v>
      </c>
      <c r="M77" s="391">
        <f>1921+101</f>
        <v>2022</v>
      </c>
      <c r="N77" s="391">
        <f>1998+105</f>
        <v>2103</v>
      </c>
      <c r="O77" s="391">
        <f>1921+101</f>
        <v>2022</v>
      </c>
      <c r="P77" s="393">
        <f t="shared" si="15"/>
        <v>8088</v>
      </c>
      <c r="Q77" s="391"/>
      <c r="R77" s="391"/>
      <c r="S77" s="391"/>
      <c r="T77" s="391"/>
      <c r="U77" s="391"/>
      <c r="V77" s="391"/>
      <c r="W77" s="391"/>
    </row>
    <row r="78" spans="1:23" ht="36">
      <c r="A78" s="41" t="s">
        <v>295</v>
      </c>
      <c r="B78" s="93" t="s">
        <v>143</v>
      </c>
      <c r="C78" s="46" t="s">
        <v>270</v>
      </c>
      <c r="D78" s="46" t="s">
        <v>89</v>
      </c>
      <c r="E78" s="46" t="s">
        <v>23</v>
      </c>
      <c r="F78" s="46" t="s">
        <v>42</v>
      </c>
      <c r="G78" s="46" t="s">
        <v>195</v>
      </c>
      <c r="H78" s="46" t="s">
        <v>38</v>
      </c>
      <c r="I78" s="46" t="s">
        <v>16</v>
      </c>
      <c r="J78" s="46" t="s">
        <v>91</v>
      </c>
      <c r="K78" s="360">
        <v>5181</v>
      </c>
      <c r="L78" s="391">
        <f>1160+77</f>
        <v>1237</v>
      </c>
      <c r="M78" s="391">
        <f>1160+337</f>
        <v>1497</v>
      </c>
      <c r="N78" s="391">
        <f>1160+294</f>
        <v>1454</v>
      </c>
      <c r="O78" s="391">
        <f>1160+348</f>
        <v>1508</v>
      </c>
      <c r="P78" s="393">
        <f t="shared" si="15"/>
        <v>5696</v>
      </c>
      <c r="Q78" s="391"/>
      <c r="R78" s="391"/>
      <c r="S78" s="391"/>
      <c r="T78" s="391"/>
      <c r="U78" s="391"/>
      <c r="V78" s="391"/>
      <c r="W78" s="391"/>
    </row>
    <row r="79" spans="1:23" ht="24">
      <c r="A79" s="41" t="s">
        <v>296</v>
      </c>
      <c r="B79" s="93" t="s">
        <v>144</v>
      </c>
      <c r="C79" s="46" t="s">
        <v>270</v>
      </c>
      <c r="D79" s="46" t="s">
        <v>89</v>
      </c>
      <c r="E79" s="46" t="s">
        <v>23</v>
      </c>
      <c r="F79" s="46" t="s">
        <v>42</v>
      </c>
      <c r="G79" s="46" t="s">
        <v>195</v>
      </c>
      <c r="H79" s="46" t="s">
        <v>38</v>
      </c>
      <c r="I79" s="46" t="s">
        <v>16</v>
      </c>
      <c r="J79" s="46" t="s">
        <v>91</v>
      </c>
      <c r="K79" s="360">
        <v>185</v>
      </c>
      <c r="L79" s="391">
        <f>38+2</f>
        <v>40</v>
      </c>
      <c r="M79" s="391">
        <f>37+2</f>
        <v>39</v>
      </c>
      <c r="N79" s="391">
        <f>38+2</f>
        <v>40</v>
      </c>
      <c r="O79" s="391">
        <f>38+2</f>
        <v>40</v>
      </c>
      <c r="P79" s="393">
        <f t="shared" si="15"/>
        <v>159</v>
      </c>
      <c r="Q79" s="391"/>
      <c r="R79" s="391"/>
      <c r="S79" s="391"/>
      <c r="T79" s="391"/>
      <c r="U79" s="391"/>
      <c r="V79" s="391"/>
      <c r="W79" s="391"/>
    </row>
    <row r="80" spans="1:23" ht="48">
      <c r="A80" s="41" t="s">
        <v>297</v>
      </c>
      <c r="B80" s="93" t="s">
        <v>245</v>
      </c>
      <c r="C80" s="46" t="s">
        <v>270</v>
      </c>
      <c r="D80" s="46" t="s">
        <v>89</v>
      </c>
      <c r="E80" s="46" t="s">
        <v>23</v>
      </c>
      <c r="F80" s="46" t="s">
        <v>42</v>
      </c>
      <c r="G80" s="46" t="s">
        <v>195</v>
      </c>
      <c r="H80" s="46" t="s">
        <v>38</v>
      </c>
      <c r="I80" s="46" t="s">
        <v>16</v>
      </c>
      <c r="J80" s="46" t="s">
        <v>91</v>
      </c>
      <c r="K80" s="360">
        <v>491</v>
      </c>
      <c r="L80" s="391">
        <f>84+5</f>
        <v>89</v>
      </c>
      <c r="M80" s="391">
        <f>85+4</f>
        <v>89</v>
      </c>
      <c r="N80" s="391">
        <f>84+4</f>
        <v>88</v>
      </c>
      <c r="O80" s="391">
        <f>84+5</f>
        <v>89</v>
      </c>
      <c r="P80" s="393">
        <f t="shared" si="15"/>
        <v>355</v>
      </c>
      <c r="Q80" s="391"/>
      <c r="R80" s="391"/>
      <c r="S80" s="391"/>
      <c r="T80" s="391"/>
      <c r="U80" s="391"/>
      <c r="V80" s="391"/>
      <c r="W80" s="391"/>
    </row>
    <row r="81" spans="1:23" ht="24" hidden="1">
      <c r="A81" s="41" t="s">
        <v>298</v>
      </c>
      <c r="B81" s="93" t="s">
        <v>246</v>
      </c>
      <c r="C81" s="46" t="s">
        <v>270</v>
      </c>
      <c r="D81" s="46" t="s">
        <v>89</v>
      </c>
      <c r="E81" s="46" t="s">
        <v>23</v>
      </c>
      <c r="F81" s="46" t="s">
        <v>42</v>
      </c>
      <c r="G81" s="46" t="s">
        <v>195</v>
      </c>
      <c r="H81" s="46" t="s">
        <v>38</v>
      </c>
      <c r="I81" s="46" t="s">
        <v>16</v>
      </c>
      <c r="J81" s="46" t="s">
        <v>91</v>
      </c>
      <c r="K81" s="359"/>
      <c r="L81" s="391">
        <v>24</v>
      </c>
      <c r="M81" s="391">
        <v>23</v>
      </c>
      <c r="N81" s="391">
        <v>24</v>
      </c>
      <c r="O81" s="391">
        <v>23</v>
      </c>
      <c r="P81" s="393">
        <f t="shared" si="15"/>
        <v>94</v>
      </c>
      <c r="Q81" s="391"/>
      <c r="R81" s="391"/>
      <c r="S81" s="391"/>
      <c r="T81" s="391"/>
      <c r="U81" s="391"/>
      <c r="V81" s="391"/>
      <c r="W81" s="391"/>
    </row>
    <row r="82" spans="1:23" ht="39" customHeight="1">
      <c r="A82" s="41"/>
      <c r="B82" s="93" t="s">
        <v>345</v>
      </c>
      <c r="C82" s="46" t="s">
        <v>270</v>
      </c>
      <c r="D82" s="46" t="s">
        <v>89</v>
      </c>
      <c r="E82" s="46" t="s">
        <v>23</v>
      </c>
      <c r="F82" s="46" t="s">
        <v>42</v>
      </c>
      <c r="G82" s="46" t="s">
        <v>195</v>
      </c>
      <c r="H82" s="46" t="s">
        <v>38</v>
      </c>
      <c r="I82" s="46" t="s">
        <v>16</v>
      </c>
      <c r="J82" s="46" t="s">
        <v>91</v>
      </c>
      <c r="K82" s="361">
        <v>681</v>
      </c>
      <c r="L82" s="391"/>
      <c r="M82" s="391"/>
      <c r="N82" s="391"/>
      <c r="O82" s="391"/>
      <c r="P82" s="393"/>
      <c r="Q82" s="391"/>
      <c r="R82" s="391"/>
      <c r="S82" s="391"/>
      <c r="T82" s="391"/>
      <c r="U82" s="391"/>
      <c r="V82" s="391"/>
      <c r="W82" s="391"/>
    </row>
    <row r="83" spans="1:23" ht="50.25" customHeight="1">
      <c r="A83" s="41" t="s">
        <v>304</v>
      </c>
      <c r="B83" s="93" t="s">
        <v>325</v>
      </c>
      <c r="C83" s="46" t="s">
        <v>270</v>
      </c>
      <c r="D83" s="46" t="s">
        <v>89</v>
      </c>
      <c r="E83" s="46" t="s">
        <v>23</v>
      </c>
      <c r="F83" s="46" t="s">
        <v>42</v>
      </c>
      <c r="G83" s="46" t="s">
        <v>195</v>
      </c>
      <c r="H83" s="46" t="s">
        <v>38</v>
      </c>
      <c r="I83" s="46" t="s">
        <v>16</v>
      </c>
      <c r="J83" s="46" t="s">
        <v>91</v>
      </c>
      <c r="K83" s="361">
        <v>367</v>
      </c>
      <c r="L83" s="391"/>
      <c r="M83" s="391"/>
      <c r="N83" s="391"/>
      <c r="O83" s="391"/>
      <c r="P83" s="393"/>
      <c r="Q83" s="391"/>
      <c r="R83" s="391"/>
      <c r="S83" s="391"/>
      <c r="T83" s="391"/>
      <c r="U83" s="391"/>
      <c r="V83" s="391"/>
      <c r="W83" s="391"/>
    </row>
    <row r="84" spans="1:23" ht="50.25" customHeight="1">
      <c r="A84" s="41"/>
      <c r="B84" s="93" t="s">
        <v>351</v>
      </c>
      <c r="C84" s="46" t="s">
        <v>270</v>
      </c>
      <c r="D84" s="46" t="s">
        <v>89</v>
      </c>
      <c r="E84" s="46" t="s">
        <v>23</v>
      </c>
      <c r="F84" s="46" t="s">
        <v>42</v>
      </c>
      <c r="G84" s="46" t="s">
        <v>195</v>
      </c>
      <c r="H84" s="46" t="s">
        <v>38</v>
      </c>
      <c r="I84" s="46" t="s">
        <v>16</v>
      </c>
      <c r="J84" s="46" t="s">
        <v>91</v>
      </c>
      <c r="K84" s="361">
        <v>138</v>
      </c>
      <c r="L84" s="391"/>
      <c r="M84" s="391"/>
      <c r="N84" s="391"/>
      <c r="O84" s="391"/>
      <c r="P84" s="393"/>
      <c r="Q84" s="391"/>
      <c r="R84" s="391"/>
      <c r="S84" s="391"/>
      <c r="T84" s="391"/>
      <c r="U84" s="391"/>
      <c r="V84" s="391"/>
      <c r="W84" s="391"/>
    </row>
    <row r="85" spans="1:23" ht="36">
      <c r="A85" s="41" t="s">
        <v>299</v>
      </c>
      <c r="B85" s="93" t="s">
        <v>247</v>
      </c>
      <c r="C85" s="46" t="s">
        <v>270</v>
      </c>
      <c r="D85" s="46" t="s">
        <v>89</v>
      </c>
      <c r="E85" s="46" t="s">
        <v>23</v>
      </c>
      <c r="F85" s="46" t="s">
        <v>42</v>
      </c>
      <c r="G85" s="46" t="s">
        <v>322</v>
      </c>
      <c r="H85" s="46" t="s">
        <v>38</v>
      </c>
      <c r="I85" s="46" t="s">
        <v>16</v>
      </c>
      <c r="J85" s="46" t="s">
        <v>91</v>
      </c>
      <c r="K85" s="361">
        <v>600</v>
      </c>
      <c r="L85" s="391">
        <f>385+20</f>
        <v>405</v>
      </c>
      <c r="M85" s="391">
        <v>0</v>
      </c>
      <c r="N85" s="391">
        <v>0</v>
      </c>
      <c r="O85" s="391">
        <v>0</v>
      </c>
      <c r="P85" s="393">
        <f t="shared" si="15"/>
        <v>405</v>
      </c>
      <c r="Q85" s="391"/>
      <c r="R85" s="391"/>
      <c r="S85" s="391"/>
      <c r="T85" s="391"/>
      <c r="U85" s="391"/>
      <c r="V85" s="391"/>
      <c r="W85" s="391"/>
    </row>
    <row r="86" spans="1:23" ht="48" hidden="1">
      <c r="A86" s="41" t="s">
        <v>300</v>
      </c>
      <c r="B86" s="93" t="s">
        <v>248</v>
      </c>
      <c r="C86" s="46" t="s">
        <v>270</v>
      </c>
      <c r="D86" s="46" t="s">
        <v>89</v>
      </c>
      <c r="E86" s="46" t="s">
        <v>23</v>
      </c>
      <c r="F86" s="46" t="s">
        <v>42</v>
      </c>
      <c r="G86" s="46" t="s">
        <v>323</v>
      </c>
      <c r="H86" s="46" t="s">
        <v>38</v>
      </c>
      <c r="I86" s="46" t="s">
        <v>16</v>
      </c>
      <c r="J86" s="46" t="s">
        <v>91</v>
      </c>
      <c r="K86" s="361"/>
      <c r="L86" s="391">
        <v>4</v>
      </c>
      <c r="M86" s="391">
        <v>3</v>
      </c>
      <c r="N86" s="391">
        <v>3</v>
      </c>
      <c r="O86" s="391">
        <v>3</v>
      </c>
      <c r="P86" s="393">
        <f t="shared" si="15"/>
        <v>13</v>
      </c>
      <c r="Q86" s="391"/>
      <c r="R86" s="391"/>
      <c r="S86" s="391"/>
      <c r="T86" s="391"/>
      <c r="U86" s="391"/>
      <c r="V86" s="391"/>
      <c r="W86" s="391"/>
    </row>
    <row r="87" spans="1:23" ht="48">
      <c r="A87" s="41" t="s">
        <v>303</v>
      </c>
      <c r="B87" s="93" t="s">
        <v>280</v>
      </c>
      <c r="C87" s="46" t="s">
        <v>270</v>
      </c>
      <c r="D87" s="46" t="s">
        <v>89</v>
      </c>
      <c r="E87" s="46" t="s">
        <v>23</v>
      </c>
      <c r="F87" s="46" t="s">
        <v>42</v>
      </c>
      <c r="G87" s="46" t="s">
        <v>324</v>
      </c>
      <c r="H87" s="46" t="s">
        <v>38</v>
      </c>
      <c r="I87" s="46" t="s">
        <v>16</v>
      </c>
      <c r="J87" s="46" t="s">
        <v>91</v>
      </c>
      <c r="K87" s="361">
        <v>5175</v>
      </c>
      <c r="L87" s="391"/>
      <c r="M87" s="391"/>
      <c r="N87" s="391"/>
      <c r="O87" s="391"/>
      <c r="P87" s="393"/>
      <c r="Q87" s="391"/>
      <c r="R87" s="391"/>
      <c r="S87" s="391"/>
      <c r="T87" s="391"/>
      <c r="U87" s="391"/>
      <c r="V87" s="391"/>
      <c r="W87" s="391"/>
    </row>
    <row r="88" spans="1:23" ht="36">
      <c r="A88" s="41" t="s">
        <v>302</v>
      </c>
      <c r="B88" s="93" t="s">
        <v>255</v>
      </c>
      <c r="C88" s="46" t="s">
        <v>270</v>
      </c>
      <c r="D88" s="46" t="s">
        <v>89</v>
      </c>
      <c r="E88" s="46" t="s">
        <v>23</v>
      </c>
      <c r="F88" s="46" t="s">
        <v>42</v>
      </c>
      <c r="G88" s="46" t="s">
        <v>200</v>
      </c>
      <c r="H88" s="46" t="s">
        <v>38</v>
      </c>
      <c r="I88" s="46" t="s">
        <v>16</v>
      </c>
      <c r="J88" s="46" t="s">
        <v>91</v>
      </c>
      <c r="K88" s="361">
        <v>3383</v>
      </c>
      <c r="L88" s="391">
        <f>646+150</f>
        <v>796</v>
      </c>
      <c r="M88" s="391">
        <v>646</v>
      </c>
      <c r="N88" s="391">
        <v>645</v>
      </c>
      <c r="O88" s="391">
        <v>645</v>
      </c>
      <c r="P88" s="393">
        <f t="shared" si="15"/>
        <v>2732</v>
      </c>
      <c r="Q88" s="391"/>
      <c r="R88" s="391"/>
      <c r="S88" s="391"/>
      <c r="T88" s="391"/>
      <c r="U88" s="391"/>
      <c r="V88" s="391"/>
      <c r="W88" s="391"/>
    </row>
    <row r="89" spans="1:23" ht="36">
      <c r="A89" s="41" t="s">
        <v>305</v>
      </c>
      <c r="B89" s="93" t="s">
        <v>349</v>
      </c>
      <c r="C89" s="46" t="s">
        <v>270</v>
      </c>
      <c r="D89" s="46" t="s">
        <v>89</v>
      </c>
      <c r="E89" s="46" t="s">
        <v>23</v>
      </c>
      <c r="F89" s="46" t="s">
        <v>77</v>
      </c>
      <c r="G89" s="46" t="s">
        <v>66</v>
      </c>
      <c r="H89" s="46" t="s">
        <v>38</v>
      </c>
      <c r="I89" s="46" t="s">
        <v>16</v>
      </c>
      <c r="J89" s="46" t="s">
        <v>91</v>
      </c>
      <c r="K89" s="252">
        <f>K90+K91</f>
        <v>2000</v>
      </c>
      <c r="L89" s="391">
        <v>1187</v>
      </c>
      <c r="M89" s="391">
        <v>1188</v>
      </c>
      <c r="N89" s="391">
        <v>1188</v>
      </c>
      <c r="O89" s="391">
        <v>1188</v>
      </c>
      <c r="P89" s="393">
        <f t="shared" si="15"/>
        <v>4751</v>
      </c>
      <c r="Q89" s="391"/>
      <c r="R89" s="391"/>
      <c r="S89" s="391"/>
      <c r="T89" s="391"/>
      <c r="U89" s="391"/>
      <c r="V89" s="391"/>
      <c r="W89" s="391"/>
    </row>
    <row r="90" spans="1:23" ht="12.75">
      <c r="A90" s="41"/>
      <c r="B90" s="93" t="s">
        <v>331</v>
      </c>
      <c r="C90" s="46" t="s">
        <v>270</v>
      </c>
      <c r="D90" s="46" t="s">
        <v>89</v>
      </c>
      <c r="E90" s="46" t="s">
        <v>23</v>
      </c>
      <c r="F90" s="46" t="s">
        <v>77</v>
      </c>
      <c r="G90" s="46" t="s">
        <v>66</v>
      </c>
      <c r="H90" s="46" t="s">
        <v>38</v>
      </c>
      <c r="I90" s="46" t="s">
        <v>16</v>
      </c>
      <c r="J90" s="46" t="s">
        <v>91</v>
      </c>
      <c r="K90" s="251">
        <v>500</v>
      </c>
      <c r="L90" s="391"/>
      <c r="M90" s="391"/>
      <c r="N90" s="391"/>
      <c r="O90" s="391"/>
      <c r="P90" s="393"/>
      <c r="Q90" s="391"/>
      <c r="R90" s="391"/>
      <c r="S90" s="391"/>
      <c r="T90" s="391"/>
      <c r="U90" s="391"/>
      <c r="V90" s="391"/>
      <c r="W90" s="391"/>
    </row>
    <row r="91" spans="1:23" ht="24">
      <c r="A91" s="41"/>
      <c r="B91" s="93" t="s">
        <v>332</v>
      </c>
      <c r="C91" s="46" t="s">
        <v>270</v>
      </c>
      <c r="D91" s="46" t="s">
        <v>89</v>
      </c>
      <c r="E91" s="46" t="s">
        <v>23</v>
      </c>
      <c r="F91" s="46" t="s">
        <v>77</v>
      </c>
      <c r="G91" s="46" t="s">
        <v>66</v>
      </c>
      <c r="H91" s="46" t="s">
        <v>38</v>
      </c>
      <c r="I91" s="46" t="s">
        <v>16</v>
      </c>
      <c r="J91" s="46" t="s">
        <v>91</v>
      </c>
      <c r="K91" s="251">
        <v>1500</v>
      </c>
      <c r="L91" s="391"/>
      <c r="M91" s="391"/>
      <c r="N91" s="391"/>
      <c r="O91" s="391"/>
      <c r="P91" s="393"/>
      <c r="Q91" s="391"/>
      <c r="R91" s="391"/>
      <c r="S91" s="391"/>
      <c r="T91" s="391"/>
      <c r="U91" s="391"/>
      <c r="V91" s="391"/>
      <c r="W91" s="391"/>
    </row>
    <row r="92" spans="1:23" ht="12.75" hidden="1">
      <c r="A92" s="236" t="s">
        <v>44</v>
      </c>
      <c r="B92" s="105" t="s">
        <v>253</v>
      </c>
      <c r="C92" s="69" t="s">
        <v>14</v>
      </c>
      <c r="D92" s="69" t="s">
        <v>89</v>
      </c>
      <c r="E92" s="69" t="s">
        <v>23</v>
      </c>
      <c r="F92" s="69" t="s">
        <v>77</v>
      </c>
      <c r="G92" s="69" t="s">
        <v>14</v>
      </c>
      <c r="H92" s="69" t="s">
        <v>15</v>
      </c>
      <c r="I92" s="69" t="s">
        <v>16</v>
      </c>
      <c r="J92" s="69" t="s">
        <v>14</v>
      </c>
      <c r="K92" s="249">
        <f>K95+K96+K97+K98+K100+K101+K102+K103+K104+K105+K106+K107+K109</f>
        <v>0</v>
      </c>
      <c r="L92" s="249">
        <f>L95+L96+L97+L98+L100+L101+L102+L103+L104+L105+L106</f>
        <v>18420</v>
      </c>
      <c r="M92" s="249">
        <f>M95+M96+M97+M98+M100+M101+M102+M103+M104+M105+M106</f>
        <v>7128</v>
      </c>
      <c r="N92" s="249">
        <f>N95+N96+N97+N98+N100+N101+N102+N103+N104+N105+N106</f>
        <v>4544</v>
      </c>
      <c r="O92" s="249">
        <f>O95+O96+O97+O98+O100+O101+O102+O103+O104+O105+O106</f>
        <v>5419</v>
      </c>
      <c r="P92" s="249">
        <f>P95+P96+P97+P98+P100+P101+P102+P103+P104+P105+P106</f>
        <v>35511</v>
      </c>
      <c r="Q92" s="391"/>
      <c r="R92" s="391"/>
      <c r="S92" s="391"/>
      <c r="T92" s="391"/>
      <c r="U92" s="391"/>
      <c r="V92" s="391"/>
      <c r="W92" s="391"/>
    </row>
    <row r="93" spans="1:23" ht="12.75" hidden="1">
      <c r="A93" s="236"/>
      <c r="B93" s="105"/>
      <c r="C93" s="69"/>
      <c r="D93" s="69"/>
      <c r="E93" s="69"/>
      <c r="F93" s="69"/>
      <c r="G93" s="69"/>
      <c r="H93" s="69"/>
      <c r="I93" s="69"/>
      <c r="J93" s="69"/>
      <c r="K93" s="249"/>
      <c r="L93" s="391"/>
      <c r="M93" s="391"/>
      <c r="N93" s="391"/>
      <c r="O93" s="391"/>
      <c r="P93" s="393">
        <f t="shared" si="15"/>
        <v>0</v>
      </c>
      <c r="Q93" s="391"/>
      <c r="R93" s="391"/>
      <c r="S93" s="391"/>
      <c r="T93" s="391"/>
      <c r="U93" s="391"/>
      <c r="V93" s="391"/>
      <c r="W93" s="391"/>
    </row>
    <row r="94" spans="1:23" ht="12.75" hidden="1">
      <c r="A94" s="236"/>
      <c r="B94" s="93" t="s">
        <v>134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265</v>
      </c>
      <c r="H94" s="70" t="s">
        <v>38</v>
      </c>
      <c r="I94" s="70" t="s">
        <v>16</v>
      </c>
      <c r="J94" s="70" t="s">
        <v>91</v>
      </c>
      <c r="K94" s="326">
        <v>0</v>
      </c>
      <c r="L94" s="391"/>
      <c r="M94" s="391"/>
      <c r="N94" s="391"/>
      <c r="O94" s="391"/>
      <c r="P94" s="393">
        <f t="shared" si="15"/>
        <v>0</v>
      </c>
      <c r="Q94" s="391"/>
      <c r="R94" s="391"/>
      <c r="S94" s="391"/>
      <c r="T94" s="391"/>
      <c r="U94" s="391"/>
      <c r="V94" s="391"/>
      <c r="W94" s="391"/>
    </row>
    <row r="95" spans="1:23" ht="12.75" hidden="1">
      <c r="A95" s="325" t="s">
        <v>306</v>
      </c>
      <c r="B95" s="93" t="s">
        <v>133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265</v>
      </c>
      <c r="H95" s="70" t="s">
        <v>38</v>
      </c>
      <c r="I95" s="70" t="s">
        <v>16</v>
      </c>
      <c r="J95" s="70" t="s">
        <v>91</v>
      </c>
      <c r="K95" s="326">
        <v>0</v>
      </c>
      <c r="L95" s="391">
        <v>15</v>
      </c>
      <c r="M95" s="391">
        <v>15</v>
      </c>
      <c r="N95" s="391">
        <v>15</v>
      </c>
      <c r="O95" s="391">
        <v>15</v>
      </c>
      <c r="P95" s="393">
        <f t="shared" si="15"/>
        <v>60</v>
      </c>
      <c r="Q95" s="391"/>
      <c r="R95" s="391"/>
      <c r="S95" s="391"/>
      <c r="T95" s="391"/>
      <c r="U95" s="391"/>
      <c r="V95" s="391"/>
      <c r="W95" s="391"/>
    </row>
    <row r="96" spans="1:23" ht="12.75" hidden="1">
      <c r="A96" s="325" t="s">
        <v>97</v>
      </c>
      <c r="B96" s="93" t="s">
        <v>236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265</v>
      </c>
      <c r="H96" s="70" t="s">
        <v>38</v>
      </c>
      <c r="I96" s="70" t="s">
        <v>16</v>
      </c>
      <c r="J96" s="70" t="s">
        <v>91</v>
      </c>
      <c r="K96" s="326">
        <v>0</v>
      </c>
      <c r="L96" s="391">
        <v>1986</v>
      </c>
      <c r="M96" s="391">
        <v>1441</v>
      </c>
      <c r="N96" s="391">
        <v>896</v>
      </c>
      <c r="O96" s="391">
        <v>1985</v>
      </c>
      <c r="P96" s="393">
        <f t="shared" si="15"/>
        <v>6308</v>
      </c>
      <c r="Q96" s="391"/>
      <c r="R96" s="391"/>
      <c r="S96" s="391"/>
      <c r="T96" s="391"/>
      <c r="U96" s="391"/>
      <c r="V96" s="391"/>
      <c r="W96" s="391"/>
    </row>
    <row r="97" spans="1:23" ht="24" hidden="1">
      <c r="A97" s="325" t="s">
        <v>237</v>
      </c>
      <c r="B97" s="93" t="s">
        <v>96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265</v>
      </c>
      <c r="H97" s="70" t="s">
        <v>38</v>
      </c>
      <c r="I97" s="70" t="s">
        <v>16</v>
      </c>
      <c r="J97" s="70" t="s">
        <v>91</v>
      </c>
      <c r="K97" s="326">
        <v>0</v>
      </c>
      <c r="L97" s="391">
        <v>13000</v>
      </c>
      <c r="M97" s="391">
        <v>2000</v>
      </c>
      <c r="N97" s="391">
        <v>0</v>
      </c>
      <c r="O97" s="391">
        <v>0</v>
      </c>
      <c r="P97" s="393">
        <f t="shared" si="15"/>
        <v>15000</v>
      </c>
      <c r="Q97" s="391"/>
      <c r="R97" s="391"/>
      <c r="S97" s="391"/>
      <c r="T97" s="391"/>
      <c r="U97" s="391"/>
      <c r="V97" s="391"/>
      <c r="W97" s="391"/>
    </row>
    <row r="98" spans="1:23" ht="24" hidden="1">
      <c r="A98" s="325" t="s">
        <v>307</v>
      </c>
      <c r="B98" s="93" t="s">
        <v>239</v>
      </c>
      <c r="C98" s="70" t="s">
        <v>14</v>
      </c>
      <c r="D98" s="70" t="s">
        <v>89</v>
      </c>
      <c r="E98" s="70" t="s">
        <v>23</v>
      </c>
      <c r="F98" s="70" t="s">
        <v>77</v>
      </c>
      <c r="G98" s="70" t="s">
        <v>265</v>
      </c>
      <c r="H98" s="70" t="s">
        <v>38</v>
      </c>
      <c r="I98" s="70" t="s">
        <v>16</v>
      </c>
      <c r="J98" s="70" t="s">
        <v>91</v>
      </c>
      <c r="K98" s="326">
        <v>0</v>
      </c>
      <c r="L98" s="391">
        <v>875</v>
      </c>
      <c r="M98" s="391">
        <v>875</v>
      </c>
      <c r="N98" s="391">
        <v>875</v>
      </c>
      <c r="O98" s="391">
        <v>875</v>
      </c>
      <c r="P98" s="393">
        <f t="shared" si="15"/>
        <v>3500</v>
      </c>
      <c r="Q98" s="393">
        <v>500</v>
      </c>
      <c r="R98" s="391"/>
      <c r="S98" s="391"/>
      <c r="T98" s="391"/>
      <c r="U98" s="391"/>
      <c r="V98" s="391"/>
      <c r="W98" s="391"/>
    </row>
    <row r="99" spans="1:23" ht="12.75" hidden="1">
      <c r="A99" s="325"/>
      <c r="B99" s="93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265</v>
      </c>
      <c r="H99" s="70" t="s">
        <v>38</v>
      </c>
      <c r="I99" s="70" t="s">
        <v>16</v>
      </c>
      <c r="J99" s="70" t="s">
        <v>91</v>
      </c>
      <c r="K99" s="64"/>
      <c r="L99" s="391"/>
      <c r="M99" s="391"/>
      <c r="N99" s="391"/>
      <c r="O99" s="391"/>
      <c r="P99" s="393">
        <f t="shared" si="15"/>
        <v>0</v>
      </c>
      <c r="Q99" s="391"/>
      <c r="R99" s="391"/>
      <c r="S99" s="391"/>
      <c r="T99" s="391"/>
      <c r="U99" s="391"/>
      <c r="V99" s="391"/>
      <c r="W99" s="391"/>
    </row>
    <row r="100" spans="1:23" ht="36" hidden="1">
      <c r="A100" s="325" t="s">
        <v>249</v>
      </c>
      <c r="B100" s="93" t="s">
        <v>244</v>
      </c>
      <c r="C100" s="70" t="s">
        <v>14</v>
      </c>
      <c r="D100" s="70" t="s">
        <v>89</v>
      </c>
      <c r="E100" s="70" t="s">
        <v>23</v>
      </c>
      <c r="F100" s="70" t="s">
        <v>77</v>
      </c>
      <c r="G100" s="70" t="s">
        <v>265</v>
      </c>
      <c r="H100" s="70" t="s">
        <v>38</v>
      </c>
      <c r="I100" s="70" t="s">
        <v>16</v>
      </c>
      <c r="J100" s="70" t="s">
        <v>91</v>
      </c>
      <c r="K100" s="326">
        <v>0</v>
      </c>
      <c r="L100" s="391">
        <v>56</v>
      </c>
      <c r="M100" s="391">
        <v>55</v>
      </c>
      <c r="N100" s="391">
        <v>56</v>
      </c>
      <c r="O100" s="391">
        <v>56</v>
      </c>
      <c r="P100" s="393">
        <f t="shared" si="15"/>
        <v>223</v>
      </c>
      <c r="Q100" s="391"/>
      <c r="R100" s="391"/>
      <c r="S100" s="391"/>
      <c r="T100" s="391"/>
      <c r="U100" s="391"/>
      <c r="V100" s="391"/>
      <c r="W100" s="391"/>
    </row>
    <row r="101" spans="1:23" ht="36" hidden="1">
      <c r="A101" s="325" t="s">
        <v>250</v>
      </c>
      <c r="B101" s="93" t="s">
        <v>243</v>
      </c>
      <c r="C101" s="70" t="s">
        <v>14</v>
      </c>
      <c r="D101" s="70" t="s">
        <v>89</v>
      </c>
      <c r="E101" s="70" t="s">
        <v>23</v>
      </c>
      <c r="F101" s="70" t="s">
        <v>77</v>
      </c>
      <c r="G101" s="70" t="s">
        <v>265</v>
      </c>
      <c r="H101" s="70" t="s">
        <v>38</v>
      </c>
      <c r="I101" s="70" t="s">
        <v>16</v>
      </c>
      <c r="J101" s="70" t="s">
        <v>91</v>
      </c>
      <c r="K101" s="326">
        <v>0</v>
      </c>
      <c r="L101" s="391">
        <v>245</v>
      </c>
      <c r="M101" s="391">
        <v>246</v>
      </c>
      <c r="N101" s="391">
        <v>246</v>
      </c>
      <c r="O101" s="391">
        <v>246</v>
      </c>
      <c r="P101" s="393">
        <f t="shared" si="15"/>
        <v>983</v>
      </c>
      <c r="Q101" s="391"/>
      <c r="R101" s="391"/>
      <c r="S101" s="391"/>
      <c r="T101" s="391"/>
      <c r="U101" s="391"/>
      <c r="V101" s="391"/>
      <c r="W101" s="391"/>
    </row>
    <row r="102" spans="1:23" ht="36" hidden="1">
      <c r="A102" s="325" t="s">
        <v>251</v>
      </c>
      <c r="B102" s="93" t="s">
        <v>242</v>
      </c>
      <c r="C102" s="70" t="s">
        <v>14</v>
      </c>
      <c r="D102" s="70" t="s">
        <v>89</v>
      </c>
      <c r="E102" s="70" t="s">
        <v>23</v>
      </c>
      <c r="F102" s="70" t="s">
        <v>77</v>
      </c>
      <c r="G102" s="70" t="s">
        <v>265</v>
      </c>
      <c r="H102" s="70" t="s">
        <v>38</v>
      </c>
      <c r="I102" s="70" t="s">
        <v>16</v>
      </c>
      <c r="J102" s="70" t="s">
        <v>91</v>
      </c>
      <c r="K102" s="326">
        <v>0</v>
      </c>
      <c r="L102" s="391">
        <v>1320</v>
      </c>
      <c r="M102" s="391">
        <v>1549</v>
      </c>
      <c r="N102" s="391">
        <v>1548</v>
      </c>
      <c r="O102" s="391">
        <v>1320</v>
      </c>
      <c r="P102" s="393">
        <f t="shared" si="15"/>
        <v>5737</v>
      </c>
      <c r="Q102" s="391"/>
      <c r="R102" s="391"/>
      <c r="S102" s="391"/>
      <c r="T102" s="391"/>
      <c r="U102" s="391"/>
      <c r="V102" s="391"/>
      <c r="W102" s="391"/>
    </row>
    <row r="103" spans="1:23" ht="36" hidden="1">
      <c r="A103" s="325" t="s">
        <v>263</v>
      </c>
      <c r="B103" s="93" t="s">
        <v>241</v>
      </c>
      <c r="C103" s="70" t="s">
        <v>14</v>
      </c>
      <c r="D103" s="70" t="s">
        <v>89</v>
      </c>
      <c r="E103" s="70" t="s">
        <v>23</v>
      </c>
      <c r="F103" s="70" t="s">
        <v>77</v>
      </c>
      <c r="G103" s="70" t="s">
        <v>265</v>
      </c>
      <c r="H103" s="70" t="s">
        <v>38</v>
      </c>
      <c r="I103" s="70" t="s">
        <v>16</v>
      </c>
      <c r="J103" s="70" t="s">
        <v>91</v>
      </c>
      <c r="K103" s="326">
        <v>0</v>
      </c>
      <c r="L103" s="391">
        <v>443</v>
      </c>
      <c r="M103" s="391">
        <v>443</v>
      </c>
      <c r="N103" s="391">
        <v>442</v>
      </c>
      <c r="O103" s="391">
        <v>442</v>
      </c>
      <c r="P103" s="393">
        <f t="shared" si="15"/>
        <v>1770</v>
      </c>
      <c r="Q103" s="391"/>
      <c r="R103" s="391"/>
      <c r="S103" s="391"/>
      <c r="T103" s="391"/>
      <c r="U103" s="391"/>
      <c r="V103" s="391"/>
      <c r="W103" s="391"/>
    </row>
    <row r="104" spans="1:23" ht="36" hidden="1">
      <c r="A104" s="325" t="s">
        <v>308</v>
      </c>
      <c r="B104" s="93" t="s">
        <v>240</v>
      </c>
      <c r="C104" s="70" t="s">
        <v>14</v>
      </c>
      <c r="D104" s="70" t="s">
        <v>89</v>
      </c>
      <c r="E104" s="70" t="s">
        <v>23</v>
      </c>
      <c r="F104" s="70" t="s">
        <v>77</v>
      </c>
      <c r="G104" s="70" t="s">
        <v>265</v>
      </c>
      <c r="H104" s="70" t="s">
        <v>38</v>
      </c>
      <c r="I104" s="70" t="s">
        <v>16</v>
      </c>
      <c r="J104" s="70" t="s">
        <v>91</v>
      </c>
      <c r="K104" s="326">
        <v>0</v>
      </c>
      <c r="L104" s="391">
        <v>35</v>
      </c>
      <c r="M104" s="391">
        <v>59</v>
      </c>
      <c r="N104" s="391">
        <v>21</v>
      </c>
      <c r="O104" s="391">
        <v>35</v>
      </c>
      <c r="P104" s="393">
        <f t="shared" si="15"/>
        <v>150</v>
      </c>
      <c r="Q104" s="391"/>
      <c r="R104" s="391"/>
      <c r="S104" s="391"/>
      <c r="T104" s="391"/>
      <c r="U104" s="391"/>
      <c r="V104" s="391"/>
      <c r="W104" s="391"/>
    </row>
    <row r="105" spans="1:23" ht="33" customHeight="1" hidden="1">
      <c r="A105" s="325" t="s">
        <v>309</v>
      </c>
      <c r="B105" s="135" t="s">
        <v>281</v>
      </c>
      <c r="C105" s="69" t="s">
        <v>14</v>
      </c>
      <c r="D105" s="69" t="s">
        <v>89</v>
      </c>
      <c r="E105" s="69" t="s">
        <v>23</v>
      </c>
      <c r="F105" s="69" t="s">
        <v>77</v>
      </c>
      <c r="G105" s="69" t="s">
        <v>265</v>
      </c>
      <c r="H105" s="69" t="s">
        <v>38</v>
      </c>
      <c r="I105" s="69" t="s">
        <v>16</v>
      </c>
      <c r="J105" s="69" t="s">
        <v>91</v>
      </c>
      <c r="K105" s="233">
        <v>0</v>
      </c>
      <c r="L105" s="391">
        <v>170</v>
      </c>
      <c r="M105" s="391">
        <v>170</v>
      </c>
      <c r="N105" s="391">
        <v>170</v>
      </c>
      <c r="O105" s="391">
        <v>170</v>
      </c>
      <c r="P105" s="393">
        <f t="shared" si="15"/>
        <v>680</v>
      </c>
      <c r="Q105" s="391"/>
      <c r="R105" s="391"/>
      <c r="S105" s="391"/>
      <c r="T105" s="391"/>
      <c r="U105" s="391"/>
      <c r="V105" s="391"/>
      <c r="W105" s="391"/>
    </row>
    <row r="106" spans="1:23" ht="36.75" customHeight="1" hidden="1">
      <c r="A106" s="325" t="s">
        <v>310</v>
      </c>
      <c r="B106" s="135" t="s">
        <v>238</v>
      </c>
      <c r="C106" s="69" t="s">
        <v>14</v>
      </c>
      <c r="D106" s="69" t="s">
        <v>89</v>
      </c>
      <c r="E106" s="69" t="s">
        <v>23</v>
      </c>
      <c r="F106" s="69" t="s">
        <v>77</v>
      </c>
      <c r="G106" s="69" t="s">
        <v>268</v>
      </c>
      <c r="H106" s="69" t="s">
        <v>38</v>
      </c>
      <c r="I106" s="69" t="s">
        <v>16</v>
      </c>
      <c r="J106" s="69" t="s">
        <v>91</v>
      </c>
      <c r="K106" s="233">
        <v>0</v>
      </c>
      <c r="L106" s="391">
        <v>275</v>
      </c>
      <c r="M106" s="391">
        <v>275</v>
      </c>
      <c r="N106" s="391">
        <v>275</v>
      </c>
      <c r="O106" s="391">
        <v>275</v>
      </c>
      <c r="P106" s="393">
        <f t="shared" si="15"/>
        <v>1100</v>
      </c>
      <c r="Q106" s="391"/>
      <c r="R106" s="391"/>
      <c r="S106" s="391"/>
      <c r="T106" s="391"/>
      <c r="U106" s="391"/>
      <c r="V106" s="391"/>
      <c r="W106" s="391"/>
    </row>
    <row r="107" spans="1:23" ht="12.75" hidden="1">
      <c r="A107" s="325" t="s">
        <v>311</v>
      </c>
      <c r="B107" s="135" t="s">
        <v>282</v>
      </c>
      <c r="C107" s="69" t="s">
        <v>14</v>
      </c>
      <c r="D107" s="69" t="s">
        <v>89</v>
      </c>
      <c r="E107" s="69" t="s">
        <v>23</v>
      </c>
      <c r="F107" s="69" t="s">
        <v>77</v>
      </c>
      <c r="G107" s="69" t="s">
        <v>267</v>
      </c>
      <c r="H107" s="69" t="s">
        <v>38</v>
      </c>
      <c r="I107" s="69" t="s">
        <v>16</v>
      </c>
      <c r="J107" s="69" t="s">
        <v>91</v>
      </c>
      <c r="K107" s="233">
        <v>0</v>
      </c>
      <c r="L107" s="391">
        <f>4600+71</f>
        <v>4671</v>
      </c>
      <c r="M107" s="391">
        <f>2500+1300-300</f>
        <v>3500</v>
      </c>
      <c r="N107" s="391">
        <f>2400-100</f>
        <v>2300</v>
      </c>
      <c r="O107" s="391">
        <f>13700-600</f>
        <v>13100</v>
      </c>
      <c r="P107" s="393">
        <f t="shared" si="15"/>
        <v>23571</v>
      </c>
      <c r="Q107" s="391"/>
      <c r="R107" s="391"/>
      <c r="S107" s="391"/>
      <c r="T107" s="391"/>
      <c r="U107" s="391"/>
      <c r="V107" s="391"/>
      <c r="W107" s="391"/>
    </row>
    <row r="108" spans="1:23" ht="36" hidden="1">
      <c r="A108" s="325" t="s">
        <v>312</v>
      </c>
      <c r="B108" s="135" t="s">
        <v>283</v>
      </c>
      <c r="C108" s="69" t="s">
        <v>14</v>
      </c>
      <c r="D108" s="69" t="s">
        <v>89</v>
      </c>
      <c r="E108" s="69" t="s">
        <v>23</v>
      </c>
      <c r="F108" s="69" t="s">
        <v>23</v>
      </c>
      <c r="G108" s="69" t="s">
        <v>266</v>
      </c>
      <c r="H108" s="69" t="s">
        <v>38</v>
      </c>
      <c r="I108" s="69" t="s">
        <v>16</v>
      </c>
      <c r="J108" s="69" t="s">
        <v>91</v>
      </c>
      <c r="K108" s="233">
        <v>0</v>
      </c>
      <c r="L108" s="391"/>
      <c r="M108" s="391"/>
      <c r="N108" s="391"/>
      <c r="O108" s="391"/>
      <c r="P108" s="393"/>
      <c r="Q108" s="391"/>
      <c r="R108" s="391"/>
      <c r="S108" s="391"/>
      <c r="T108" s="391"/>
      <c r="U108" s="391"/>
      <c r="V108" s="391"/>
      <c r="W108" s="391"/>
    </row>
    <row r="109" spans="1:23" ht="24" hidden="1">
      <c r="A109" s="325" t="s">
        <v>313</v>
      </c>
      <c r="B109" s="135" t="s">
        <v>271</v>
      </c>
      <c r="C109" s="69" t="s">
        <v>14</v>
      </c>
      <c r="D109" s="69" t="s">
        <v>89</v>
      </c>
      <c r="E109" s="69" t="s">
        <v>23</v>
      </c>
      <c r="F109" s="69" t="s">
        <v>77</v>
      </c>
      <c r="G109" s="69" t="s">
        <v>284</v>
      </c>
      <c r="H109" s="69" t="s">
        <v>38</v>
      </c>
      <c r="I109" s="69" t="s">
        <v>16</v>
      </c>
      <c r="J109" s="69" t="s">
        <v>91</v>
      </c>
      <c r="K109" s="233">
        <v>0</v>
      </c>
      <c r="L109" s="391"/>
      <c r="M109" s="391"/>
      <c r="N109" s="391"/>
      <c r="O109" s="391"/>
      <c r="P109" s="393"/>
      <c r="Q109" s="391">
        <f>R109+S109+T109</f>
        <v>436320</v>
      </c>
      <c r="R109" s="391">
        <v>299700</v>
      </c>
      <c r="S109" s="391">
        <v>109080</v>
      </c>
      <c r="T109" s="391">
        <v>27540</v>
      </c>
      <c r="U109" s="391"/>
      <c r="V109" s="391"/>
      <c r="W109" s="391"/>
    </row>
    <row r="110" spans="1:23" ht="24">
      <c r="A110" s="325"/>
      <c r="B110" s="135" t="s">
        <v>353</v>
      </c>
      <c r="C110" s="69" t="s">
        <v>14</v>
      </c>
      <c r="D110" s="69" t="s">
        <v>89</v>
      </c>
      <c r="E110" s="69" t="s">
        <v>55</v>
      </c>
      <c r="F110" s="69" t="s">
        <v>38</v>
      </c>
      <c r="G110" s="69" t="s">
        <v>14</v>
      </c>
      <c r="H110" s="69" t="s">
        <v>38</v>
      </c>
      <c r="I110" s="69" t="s">
        <v>16</v>
      </c>
      <c r="J110" s="69" t="s">
        <v>86</v>
      </c>
      <c r="K110" s="249">
        <v>4059</v>
      </c>
      <c r="L110" s="391"/>
      <c r="M110" s="391"/>
      <c r="N110" s="391"/>
      <c r="O110" s="391"/>
      <c r="P110" s="393"/>
      <c r="Q110" s="391"/>
      <c r="R110" s="391"/>
      <c r="S110" s="391"/>
      <c r="T110" s="391"/>
      <c r="U110" s="391"/>
      <c r="V110" s="391"/>
      <c r="W110" s="391"/>
    </row>
    <row r="111" spans="1:23" ht="27" customHeight="1" hidden="1">
      <c r="A111" s="236" t="s">
        <v>98</v>
      </c>
      <c r="B111" s="330" t="s">
        <v>167</v>
      </c>
      <c r="C111" s="69" t="s">
        <v>14</v>
      </c>
      <c r="D111" s="69" t="s">
        <v>99</v>
      </c>
      <c r="E111" s="69" t="s">
        <v>15</v>
      </c>
      <c r="F111" s="69" t="s">
        <v>15</v>
      </c>
      <c r="G111" s="69" t="s">
        <v>14</v>
      </c>
      <c r="H111" s="69" t="s">
        <v>15</v>
      </c>
      <c r="I111" s="69" t="s">
        <v>16</v>
      </c>
      <c r="J111" s="69" t="s">
        <v>14</v>
      </c>
      <c r="K111" s="249">
        <f>K113+K115</f>
        <v>0</v>
      </c>
      <c r="L111" s="249">
        <f aca="true" t="shared" si="16" ref="L111:W111">L113+L115</f>
        <v>3303.4</v>
      </c>
      <c r="M111" s="249">
        <f t="shared" si="16"/>
        <v>3303.5</v>
      </c>
      <c r="N111" s="249">
        <f t="shared" si="16"/>
        <v>3303.5</v>
      </c>
      <c r="O111" s="249">
        <f t="shared" si="16"/>
        <v>3303.6</v>
      </c>
      <c r="P111" s="249">
        <f t="shared" si="16"/>
        <v>13214</v>
      </c>
      <c r="Q111" s="249">
        <f t="shared" si="16"/>
        <v>0</v>
      </c>
      <c r="R111" s="249">
        <f t="shared" si="16"/>
        <v>0</v>
      </c>
      <c r="S111" s="249">
        <f t="shared" si="16"/>
        <v>0</v>
      </c>
      <c r="T111" s="249">
        <f t="shared" si="16"/>
        <v>0</v>
      </c>
      <c r="U111" s="249">
        <f t="shared" si="16"/>
        <v>0</v>
      </c>
      <c r="V111" s="249">
        <f t="shared" si="16"/>
        <v>18826</v>
      </c>
      <c r="W111" s="249">
        <f t="shared" si="16"/>
        <v>17193</v>
      </c>
    </row>
    <row r="112" spans="1:23" ht="12.75" hidden="1">
      <c r="A112" s="236" t="s">
        <v>17</v>
      </c>
      <c r="B112" s="105" t="s">
        <v>100</v>
      </c>
      <c r="C112" s="44" t="s">
        <v>14</v>
      </c>
      <c r="D112" s="44" t="s">
        <v>99</v>
      </c>
      <c r="E112" s="44" t="s">
        <v>23</v>
      </c>
      <c r="F112" s="44" t="s">
        <v>15</v>
      </c>
      <c r="G112" s="44" t="s">
        <v>14</v>
      </c>
      <c r="H112" s="44" t="s">
        <v>15</v>
      </c>
      <c r="I112" s="44" t="s">
        <v>16</v>
      </c>
      <c r="J112" s="44" t="s">
        <v>101</v>
      </c>
      <c r="K112" s="252">
        <f>K113</f>
        <v>0</v>
      </c>
      <c r="L112" s="252">
        <f aca="true" t="shared" si="17" ref="L112:W112">L113</f>
        <v>2828.3</v>
      </c>
      <c r="M112" s="252">
        <f t="shared" si="17"/>
        <v>2828.4</v>
      </c>
      <c r="N112" s="252">
        <f t="shared" si="17"/>
        <v>2828.4</v>
      </c>
      <c r="O112" s="252">
        <f t="shared" si="17"/>
        <v>2828.4</v>
      </c>
      <c r="P112" s="252">
        <f t="shared" si="17"/>
        <v>11313.5</v>
      </c>
      <c r="Q112" s="252">
        <f t="shared" si="17"/>
        <v>0</v>
      </c>
      <c r="R112" s="252">
        <f t="shared" si="17"/>
        <v>0</v>
      </c>
      <c r="S112" s="252">
        <f t="shared" si="17"/>
        <v>0</v>
      </c>
      <c r="T112" s="252">
        <f t="shared" si="17"/>
        <v>0</v>
      </c>
      <c r="U112" s="252">
        <f t="shared" si="17"/>
        <v>0</v>
      </c>
      <c r="V112" s="252">
        <f t="shared" si="17"/>
        <v>15957</v>
      </c>
      <c r="W112" s="252">
        <f t="shared" si="17"/>
        <v>12816</v>
      </c>
    </row>
    <row r="113" spans="1:23" ht="24" hidden="1">
      <c r="A113" s="41" t="s">
        <v>102</v>
      </c>
      <c r="B113" s="137" t="s">
        <v>261</v>
      </c>
      <c r="C113" s="46" t="s">
        <v>270</v>
      </c>
      <c r="D113" s="46" t="s">
        <v>99</v>
      </c>
      <c r="E113" s="46" t="s">
        <v>23</v>
      </c>
      <c r="F113" s="46" t="s">
        <v>20</v>
      </c>
      <c r="G113" s="46" t="s">
        <v>159</v>
      </c>
      <c r="H113" s="46" t="s">
        <v>38</v>
      </c>
      <c r="I113" s="46" t="s">
        <v>16</v>
      </c>
      <c r="J113" s="46" t="s">
        <v>101</v>
      </c>
      <c r="K113" s="251"/>
      <c r="L113" s="391">
        <v>2828.3</v>
      </c>
      <c r="M113" s="391">
        <v>2828.4</v>
      </c>
      <c r="N113" s="391">
        <v>2828.4</v>
      </c>
      <c r="O113" s="391">
        <v>2828.4</v>
      </c>
      <c r="P113" s="393">
        <f t="shared" si="15"/>
        <v>11313.5</v>
      </c>
      <c r="Q113" s="391"/>
      <c r="R113" s="391"/>
      <c r="S113" s="391"/>
      <c r="T113" s="391"/>
      <c r="U113" s="391"/>
      <c r="V113" s="391">
        <v>15957</v>
      </c>
      <c r="W113" s="391">
        <v>12816</v>
      </c>
    </row>
    <row r="114" spans="1:23" ht="24" hidden="1">
      <c r="A114" s="236" t="s">
        <v>36</v>
      </c>
      <c r="B114" s="331" t="s">
        <v>103</v>
      </c>
      <c r="C114" s="69" t="s">
        <v>14</v>
      </c>
      <c r="D114" s="69" t="s">
        <v>99</v>
      </c>
      <c r="E114" s="69" t="s">
        <v>42</v>
      </c>
      <c r="F114" s="69" t="s">
        <v>15</v>
      </c>
      <c r="G114" s="69" t="s">
        <v>14</v>
      </c>
      <c r="H114" s="69" t="s">
        <v>15</v>
      </c>
      <c r="I114" s="69" t="s">
        <v>16</v>
      </c>
      <c r="J114" s="69" t="s">
        <v>86</v>
      </c>
      <c r="K114" s="252">
        <f>K115</f>
        <v>0</v>
      </c>
      <c r="L114" s="252">
        <f aca="true" t="shared" si="18" ref="L114:W114">L115</f>
        <v>475.1</v>
      </c>
      <c r="M114" s="252">
        <f t="shared" si="18"/>
        <v>475.1</v>
      </c>
      <c r="N114" s="252">
        <f t="shared" si="18"/>
        <v>475.1</v>
      </c>
      <c r="O114" s="252">
        <f t="shared" si="18"/>
        <v>475.2</v>
      </c>
      <c r="P114" s="252">
        <f t="shared" si="18"/>
        <v>1900.5000000000002</v>
      </c>
      <c r="Q114" s="252">
        <f t="shared" si="18"/>
        <v>0</v>
      </c>
      <c r="R114" s="252">
        <f t="shared" si="18"/>
        <v>0</v>
      </c>
      <c r="S114" s="252">
        <f t="shared" si="18"/>
        <v>0</v>
      </c>
      <c r="T114" s="252">
        <f t="shared" si="18"/>
        <v>0</v>
      </c>
      <c r="U114" s="252">
        <f t="shared" si="18"/>
        <v>0</v>
      </c>
      <c r="V114" s="252">
        <f t="shared" si="18"/>
        <v>2869</v>
      </c>
      <c r="W114" s="252">
        <f t="shared" si="18"/>
        <v>4377</v>
      </c>
    </row>
    <row r="115" spans="1:23" ht="24" hidden="1">
      <c r="A115" s="325" t="s">
        <v>39</v>
      </c>
      <c r="B115" s="332" t="s">
        <v>262</v>
      </c>
      <c r="C115" s="373" t="s">
        <v>270</v>
      </c>
      <c r="D115" s="373" t="s">
        <v>99</v>
      </c>
      <c r="E115" s="373" t="s">
        <v>42</v>
      </c>
      <c r="F115" s="373" t="s">
        <v>23</v>
      </c>
      <c r="G115" s="373" t="s">
        <v>159</v>
      </c>
      <c r="H115" s="373" t="s">
        <v>38</v>
      </c>
      <c r="I115" s="373" t="s">
        <v>16</v>
      </c>
      <c r="J115" s="373" t="s">
        <v>86</v>
      </c>
      <c r="K115" s="251"/>
      <c r="L115" s="391">
        <v>475.1</v>
      </c>
      <c r="M115" s="391">
        <v>475.1</v>
      </c>
      <c r="N115" s="391">
        <v>475.1</v>
      </c>
      <c r="O115" s="391">
        <v>475.2</v>
      </c>
      <c r="P115" s="393">
        <f t="shared" si="15"/>
        <v>1900.5000000000002</v>
      </c>
      <c r="Q115" s="391"/>
      <c r="R115" s="391"/>
      <c r="S115" s="391"/>
      <c r="T115" s="391"/>
      <c r="U115" s="391"/>
      <c r="V115" s="391">
        <v>2869</v>
      </c>
      <c r="W115" s="391">
        <v>4377</v>
      </c>
    </row>
    <row r="116" spans="1:23" ht="12.75">
      <c r="A116" s="333"/>
      <c r="B116" s="330" t="s">
        <v>104</v>
      </c>
      <c r="C116" s="44"/>
      <c r="D116" s="44"/>
      <c r="E116" s="44"/>
      <c r="F116" s="44"/>
      <c r="G116" s="44"/>
      <c r="H116" s="44"/>
      <c r="I116" s="44"/>
      <c r="J116" s="44"/>
      <c r="K116" s="249">
        <f aca="true" t="shared" si="19" ref="K116:W116">K22+K64+K111</f>
        <v>378861</v>
      </c>
      <c r="L116" s="249" t="e">
        <f t="shared" si="19"/>
        <v>#REF!</v>
      </c>
      <c r="M116" s="249" t="e">
        <f t="shared" si="19"/>
        <v>#REF!</v>
      </c>
      <c r="N116" s="249" t="e">
        <f t="shared" si="19"/>
        <v>#REF!</v>
      </c>
      <c r="O116" s="249" t="e">
        <f t="shared" si="19"/>
        <v>#REF!</v>
      </c>
      <c r="P116" s="249" t="e">
        <f t="shared" si="19"/>
        <v>#REF!</v>
      </c>
      <c r="Q116" s="249" t="e">
        <f t="shared" si="19"/>
        <v>#REF!</v>
      </c>
      <c r="R116" s="249" t="e">
        <f t="shared" si="19"/>
        <v>#REF!</v>
      </c>
      <c r="S116" s="249" t="e">
        <f t="shared" si="19"/>
        <v>#REF!</v>
      </c>
      <c r="T116" s="249" t="e">
        <f t="shared" si="19"/>
        <v>#REF!</v>
      </c>
      <c r="U116" s="249" t="e">
        <f t="shared" si="19"/>
        <v>#REF!</v>
      </c>
      <c r="V116" s="249" t="e">
        <f t="shared" si="19"/>
        <v>#REF!</v>
      </c>
      <c r="W116" s="249" t="e">
        <f t="shared" si="19"/>
        <v>#REF!</v>
      </c>
    </row>
  </sheetData>
  <mergeCells count="6">
    <mergeCell ref="C15:J19"/>
    <mergeCell ref="C20:J20"/>
    <mergeCell ref="G3:K3"/>
    <mergeCell ref="G4:K6"/>
    <mergeCell ref="B12:K12"/>
    <mergeCell ref="A11:W11"/>
  </mergeCells>
  <printOptions/>
  <pageMargins left="0.75" right="0.23" top="0.51" bottom="0.23" header="0.5" footer="0.23"/>
  <pageSetup fitToHeight="2" fitToWidth="1" horizontalDpi="600" verticalDpi="600" orientation="portrait" paperSize="9" scale="73" r:id="rId1"/>
  <rowBreaks count="1" manualBreakCount="1">
    <brk id="7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16"/>
  <sheetViews>
    <sheetView workbookViewId="0" topLeftCell="B10">
      <pane xSplit="6060" ySplit="1710" topLeftCell="J53" activePane="bottomRight" state="split"/>
      <selection pane="topLeft" activeCell="B89" sqref="A1:IV16384"/>
      <selection pane="topRight" activeCell="X10" sqref="X1:AC16384"/>
      <selection pane="bottomLeft" activeCell="B80" sqref="B80"/>
      <selection pane="bottomRight" activeCell="Y55" sqref="Y55"/>
    </sheetView>
  </sheetViews>
  <sheetFormatPr defaultColWidth="9.00390625" defaultRowHeight="12.75"/>
  <cols>
    <col min="1" max="1" width="0.12890625" style="0" customWidth="1"/>
    <col min="2" max="2" width="61.75390625" style="358" customWidth="1"/>
    <col min="3" max="3" width="3.875" style="0" customWidth="1"/>
    <col min="4" max="4" width="2.75390625" style="0" customWidth="1"/>
    <col min="5" max="5" width="3.125" style="0" customWidth="1"/>
    <col min="6" max="6" width="3.25390625" style="0" customWidth="1"/>
    <col min="7" max="7" width="4.00390625" style="0" customWidth="1"/>
    <col min="8" max="8" width="4.125" style="0" customWidth="1"/>
    <col min="9" max="9" width="4.875" style="0" customWidth="1"/>
    <col min="10" max="10" width="4.625" style="0" customWidth="1"/>
    <col min="11" max="11" width="13.00390625" style="377" customWidth="1"/>
    <col min="12" max="21" width="0" style="377" hidden="1" customWidth="1"/>
    <col min="22" max="22" width="10.875" style="377" hidden="1" customWidth="1"/>
    <col min="23" max="23" width="0" style="377" hidden="1" customWidth="1"/>
    <col min="24" max="24" width="9.125" style="210" customWidth="1"/>
  </cols>
  <sheetData>
    <row r="1" spans="1:10" ht="12" customHeight="1" hidden="1">
      <c r="A1" s="1"/>
      <c r="B1" s="362"/>
      <c r="C1" s="2"/>
      <c r="D1" s="2"/>
      <c r="E1" s="2"/>
      <c r="F1" s="2"/>
      <c r="G1" s="2"/>
      <c r="H1" s="2"/>
      <c r="I1" s="2"/>
      <c r="J1" s="2"/>
    </row>
    <row r="2" spans="1:10" ht="12" customHeight="1" hidden="1">
      <c r="A2" s="1"/>
      <c r="B2" s="362"/>
      <c r="C2" s="2"/>
      <c r="D2" s="2"/>
      <c r="E2" s="2"/>
      <c r="F2" s="2"/>
      <c r="G2" s="2"/>
      <c r="H2" s="2"/>
      <c r="I2" s="2"/>
      <c r="J2" s="2"/>
    </row>
    <row r="3" spans="1:11" ht="16.5" customHeight="1" hidden="1">
      <c r="A3" s="1"/>
      <c r="B3" s="362"/>
      <c r="C3" s="2"/>
      <c r="D3" s="2"/>
      <c r="E3" s="2"/>
      <c r="F3" s="2"/>
      <c r="G3" s="421" t="s">
        <v>269</v>
      </c>
      <c r="H3" s="422"/>
      <c r="I3" s="422"/>
      <c r="J3" s="422"/>
      <c r="K3" s="422"/>
    </row>
    <row r="4" spans="1:12" ht="48" customHeight="1" hidden="1">
      <c r="A4" s="1"/>
      <c r="B4" s="362"/>
      <c r="C4" s="2"/>
      <c r="D4" s="2"/>
      <c r="E4" s="2"/>
      <c r="F4" s="2"/>
      <c r="G4" s="423"/>
      <c r="H4" s="422"/>
      <c r="I4" s="422"/>
      <c r="J4" s="422"/>
      <c r="K4" s="422"/>
      <c r="L4" s="378"/>
    </row>
    <row r="5" spans="1:12" ht="13.5" customHeight="1" hidden="1">
      <c r="A5" s="1"/>
      <c r="B5" s="362"/>
      <c r="C5" s="2"/>
      <c r="D5" s="2"/>
      <c r="E5" s="2"/>
      <c r="F5" s="2"/>
      <c r="G5" s="422"/>
      <c r="H5" s="422"/>
      <c r="I5" s="422"/>
      <c r="J5" s="422"/>
      <c r="K5" s="422"/>
      <c r="L5" s="378"/>
    </row>
    <row r="6" spans="1:12" ht="15.75" customHeight="1" hidden="1">
      <c r="A6" s="1"/>
      <c r="B6" s="362"/>
      <c r="C6" s="2"/>
      <c r="D6" s="2"/>
      <c r="E6" s="2"/>
      <c r="F6" s="2"/>
      <c r="G6" s="422"/>
      <c r="H6" s="422"/>
      <c r="I6" s="422"/>
      <c r="J6" s="422"/>
      <c r="K6" s="422"/>
      <c r="L6" s="378"/>
    </row>
    <row r="7" spans="1:12" ht="14.25" customHeight="1" hidden="1">
      <c r="A7" s="1"/>
      <c r="B7" s="362"/>
      <c r="C7" s="2"/>
      <c r="D7" s="2"/>
      <c r="E7" s="2"/>
      <c r="F7" s="2"/>
      <c r="G7" s="2"/>
      <c r="H7" s="146"/>
      <c r="I7" s="146"/>
      <c r="J7" s="146"/>
      <c r="K7" s="378"/>
      <c r="L7" s="378"/>
    </row>
    <row r="8" spans="1:12" ht="13.5" customHeight="1" hidden="1">
      <c r="A8" s="1"/>
      <c r="B8" s="362"/>
      <c r="C8" s="2"/>
      <c r="D8" s="2"/>
      <c r="E8" s="2"/>
      <c r="F8" s="2"/>
      <c r="G8" s="2"/>
      <c r="H8" s="146"/>
      <c r="I8" s="146"/>
      <c r="J8" s="146"/>
      <c r="K8" s="378"/>
      <c r="L8" s="378"/>
    </row>
    <row r="9" spans="1:12" ht="12" customHeight="1" hidden="1">
      <c r="A9" s="1"/>
      <c r="B9" s="362"/>
      <c r="C9" s="2"/>
      <c r="D9" s="2"/>
      <c r="E9" s="2"/>
      <c r="F9" s="2"/>
      <c r="G9" s="2"/>
      <c r="H9" s="146"/>
      <c r="I9" s="146"/>
      <c r="J9" s="146"/>
      <c r="K9" s="378"/>
      <c r="L9" s="378"/>
    </row>
    <row r="10" spans="1:12" ht="20.25" customHeight="1">
      <c r="A10" s="1"/>
      <c r="B10" s="362"/>
      <c r="C10" s="2"/>
      <c r="D10" s="2"/>
      <c r="E10" s="2"/>
      <c r="F10" s="2"/>
      <c r="G10" s="2"/>
      <c r="H10" s="146"/>
      <c r="I10" s="146"/>
      <c r="J10" s="146"/>
      <c r="K10" s="378"/>
      <c r="L10" s="378"/>
    </row>
    <row r="11" spans="1:23" ht="12.75">
      <c r="A11" s="403" t="s">
        <v>329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</row>
    <row r="12" spans="1:11" ht="12.75">
      <c r="A12" s="36"/>
      <c r="B12" s="403" t="s">
        <v>339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3.5" thickBot="1">
      <c r="A13" s="1"/>
      <c r="B13" s="36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hidden="1" thickBot="1">
      <c r="A14" s="1"/>
      <c r="B14" s="362"/>
      <c r="C14" s="1"/>
      <c r="D14" s="1"/>
      <c r="E14" s="1"/>
      <c r="F14" s="1"/>
      <c r="G14" s="1"/>
      <c r="H14" s="1"/>
      <c r="I14" s="1"/>
      <c r="J14" s="1"/>
      <c r="K14" s="379"/>
    </row>
    <row r="15" spans="1:23" ht="12.75">
      <c r="A15" s="4"/>
      <c r="B15" s="364"/>
      <c r="C15" s="412" t="s">
        <v>0</v>
      </c>
      <c r="D15" s="413"/>
      <c r="E15" s="413"/>
      <c r="F15" s="413"/>
      <c r="G15" s="413"/>
      <c r="H15" s="413"/>
      <c r="I15" s="413"/>
      <c r="J15" s="414"/>
      <c r="K15" s="376"/>
      <c r="L15" s="380"/>
      <c r="M15" s="381"/>
      <c r="N15" s="381"/>
      <c r="O15" s="382"/>
      <c r="V15" s="383"/>
      <c r="W15" s="383"/>
    </row>
    <row r="16" spans="1:23" ht="12.75">
      <c r="A16" s="7"/>
      <c r="B16" s="365"/>
      <c r="C16" s="415"/>
      <c r="D16" s="416"/>
      <c r="E16" s="416"/>
      <c r="F16" s="416"/>
      <c r="G16" s="416"/>
      <c r="H16" s="416"/>
      <c r="I16" s="416"/>
      <c r="J16" s="417"/>
      <c r="K16" s="9"/>
      <c r="L16" s="384"/>
      <c r="M16" s="385"/>
      <c r="N16" s="385"/>
      <c r="O16" s="386"/>
      <c r="V16" s="387" t="s">
        <v>340</v>
      </c>
      <c r="W16" s="387" t="s">
        <v>343</v>
      </c>
    </row>
    <row r="17" spans="1:23" ht="12.75">
      <c r="A17" s="7"/>
      <c r="B17" s="365" t="s">
        <v>1</v>
      </c>
      <c r="C17" s="415"/>
      <c r="D17" s="416"/>
      <c r="E17" s="416"/>
      <c r="F17" s="416"/>
      <c r="G17" s="416"/>
      <c r="H17" s="416"/>
      <c r="I17" s="416"/>
      <c r="J17" s="417"/>
      <c r="K17" s="9" t="s">
        <v>346</v>
      </c>
      <c r="L17" s="384" t="s">
        <v>181</v>
      </c>
      <c r="M17" s="385"/>
      <c r="N17" s="385"/>
      <c r="O17" s="386"/>
      <c r="V17" s="387" t="s">
        <v>341</v>
      </c>
      <c r="W17" s="387"/>
    </row>
    <row r="18" spans="1:23" ht="12.75">
      <c r="A18" s="7"/>
      <c r="B18" s="365"/>
      <c r="C18" s="415"/>
      <c r="D18" s="416"/>
      <c r="E18" s="416"/>
      <c r="F18" s="416"/>
      <c r="G18" s="416"/>
      <c r="H18" s="416"/>
      <c r="I18" s="416"/>
      <c r="J18" s="417"/>
      <c r="K18" s="9" t="s">
        <v>315</v>
      </c>
      <c r="L18" s="384"/>
      <c r="M18" s="385"/>
      <c r="N18" s="385"/>
      <c r="O18" s="386"/>
      <c r="V18" s="387" t="s">
        <v>342</v>
      </c>
      <c r="W18" s="387" t="s">
        <v>344</v>
      </c>
    </row>
    <row r="19" spans="1:32" ht="13.5" thickBot="1">
      <c r="A19" s="7"/>
      <c r="B19" s="366"/>
      <c r="C19" s="418"/>
      <c r="D19" s="419"/>
      <c r="E19" s="419"/>
      <c r="F19" s="419"/>
      <c r="G19" s="419"/>
      <c r="H19" s="419"/>
      <c r="I19" s="419"/>
      <c r="J19" s="420"/>
      <c r="K19" s="9"/>
      <c r="L19" s="388"/>
      <c r="M19" s="389"/>
      <c r="N19" s="389"/>
      <c r="O19" s="390"/>
      <c r="V19" s="387"/>
      <c r="W19" s="387"/>
      <c r="X19" s="210" t="s">
        <v>355</v>
      </c>
      <c r="Y19" t="s">
        <v>182</v>
      </c>
      <c r="Z19" t="s">
        <v>183</v>
      </c>
      <c r="AA19" t="s">
        <v>184</v>
      </c>
      <c r="AC19" t="s">
        <v>356</v>
      </c>
      <c r="AD19" t="s">
        <v>185</v>
      </c>
      <c r="AE19" t="s">
        <v>186</v>
      </c>
      <c r="AF19" t="s">
        <v>187</v>
      </c>
    </row>
    <row r="20" spans="1:23" ht="13.5" thickBot="1">
      <c r="A20" s="12">
        <v>1</v>
      </c>
      <c r="B20" s="364">
        <v>2</v>
      </c>
      <c r="C20" s="404"/>
      <c r="D20" s="404"/>
      <c r="E20" s="404"/>
      <c r="F20" s="404"/>
      <c r="G20" s="404"/>
      <c r="H20" s="404"/>
      <c r="I20" s="404"/>
      <c r="J20" s="405"/>
      <c r="K20" s="13">
        <v>4</v>
      </c>
      <c r="L20" s="391">
        <v>5</v>
      </c>
      <c r="M20" s="391">
        <v>6</v>
      </c>
      <c r="N20" s="391">
        <v>7</v>
      </c>
      <c r="O20" s="391">
        <v>8</v>
      </c>
      <c r="V20" s="392"/>
      <c r="W20" s="392"/>
    </row>
    <row r="21" spans="1:15" ht="1.5" customHeight="1">
      <c r="A21" s="317"/>
      <c r="B21" s="318"/>
      <c r="C21" s="318" t="s">
        <v>4</v>
      </c>
      <c r="D21" s="318" t="s">
        <v>5</v>
      </c>
      <c r="E21" s="318" t="s">
        <v>6</v>
      </c>
      <c r="F21" s="318" t="s">
        <v>7</v>
      </c>
      <c r="G21" s="318" t="s">
        <v>8</v>
      </c>
      <c r="H21" s="318" t="s">
        <v>9</v>
      </c>
      <c r="I21" s="318" t="s">
        <v>10</v>
      </c>
      <c r="J21" s="318" t="s">
        <v>11</v>
      </c>
      <c r="K21" s="319"/>
      <c r="L21" s="391" t="s">
        <v>177</v>
      </c>
      <c r="M21" s="391" t="s">
        <v>178</v>
      </c>
      <c r="N21" s="391" t="s">
        <v>179</v>
      </c>
      <c r="O21" s="391" t="s">
        <v>180</v>
      </c>
    </row>
    <row r="22" spans="1:33" ht="12.75">
      <c r="A22" s="320" t="s">
        <v>12</v>
      </c>
      <c r="B22" s="367" t="s">
        <v>13</v>
      </c>
      <c r="C22" s="44" t="s">
        <v>14</v>
      </c>
      <c r="D22" s="44">
        <v>1</v>
      </c>
      <c r="E22" s="44" t="s">
        <v>15</v>
      </c>
      <c r="F22" s="44" t="s">
        <v>15</v>
      </c>
      <c r="G22" s="44" t="s">
        <v>14</v>
      </c>
      <c r="H22" s="44" t="s">
        <v>15</v>
      </c>
      <c r="I22" s="44" t="s">
        <v>16</v>
      </c>
      <c r="J22" s="44" t="s">
        <v>14</v>
      </c>
      <c r="K22" s="233">
        <f>K23+K30+K37+K41+K48+K50+K51+K52+K55</f>
        <v>98196</v>
      </c>
      <c r="L22" s="233">
        <f aca="true" t="shared" si="0" ref="L22:AA22">L23+L30+L37+L41+L48+L50+L51+L52+L55</f>
        <v>7080.6</v>
      </c>
      <c r="M22" s="233">
        <f t="shared" si="0"/>
        <v>7080.6</v>
      </c>
      <c r="N22" s="233">
        <f t="shared" si="0"/>
        <v>7080.6</v>
      </c>
      <c r="O22" s="233">
        <f t="shared" si="0"/>
        <v>7080.8</v>
      </c>
      <c r="P22" s="233">
        <f t="shared" si="0"/>
        <v>18752.6</v>
      </c>
      <c r="Q22" s="233">
        <f t="shared" si="0"/>
        <v>9790</v>
      </c>
      <c r="R22" s="233">
        <f t="shared" si="0"/>
        <v>3190</v>
      </c>
      <c r="S22" s="233">
        <f t="shared" si="0"/>
        <v>3190</v>
      </c>
      <c r="T22" s="233">
        <f t="shared" si="0"/>
        <v>3190</v>
      </c>
      <c r="U22" s="233">
        <f t="shared" si="0"/>
        <v>3190</v>
      </c>
      <c r="V22" s="233">
        <f t="shared" si="0"/>
        <v>64564.5</v>
      </c>
      <c r="W22" s="233">
        <f t="shared" si="0"/>
        <v>60398</v>
      </c>
      <c r="X22" s="399">
        <f t="shared" si="0"/>
        <v>23533</v>
      </c>
      <c r="Y22" s="233">
        <f t="shared" si="0"/>
        <v>7877</v>
      </c>
      <c r="Z22" s="233">
        <f t="shared" si="0"/>
        <v>7930</v>
      </c>
      <c r="AA22" s="233">
        <f t="shared" si="0"/>
        <v>7726</v>
      </c>
      <c r="AB22" s="395">
        <f>Y22+Z22+AA22</f>
        <v>23533</v>
      </c>
      <c r="AC22" s="233">
        <f>AC23+AC30+AC37+AC41+AC48+AC50+AC51+AC52+AC55</f>
        <v>19121</v>
      </c>
      <c r="AD22" s="233">
        <f>AD23+AD30+AD37+AD41+AD48+AD50+AD51+AD52+AD55</f>
        <v>8724</v>
      </c>
      <c r="AE22" s="233">
        <f>AE23+AE30+AE37+AE41+AE48+AE50+AE51+AE52+AE55</f>
        <v>8706</v>
      </c>
      <c r="AF22" s="233">
        <f>AF23+AF30+AF37+AF41+AF48+AF50+AF51+AF52+AF55</f>
        <v>7934</v>
      </c>
      <c r="AG22" s="395">
        <f>AD22+AE22+AF22</f>
        <v>25364</v>
      </c>
    </row>
    <row r="23" spans="1:33" ht="12.75">
      <c r="A23" s="320" t="s">
        <v>17</v>
      </c>
      <c r="B23" s="105" t="s">
        <v>18</v>
      </c>
      <c r="C23" s="44" t="s">
        <v>14</v>
      </c>
      <c r="D23" s="44" t="s">
        <v>19</v>
      </c>
      <c r="E23" s="44" t="s">
        <v>20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49">
        <f>K24</f>
        <v>51740</v>
      </c>
      <c r="L23" s="249">
        <f aca="true" t="shared" si="1" ref="L23:AF23">L24</f>
        <v>0</v>
      </c>
      <c r="M23" s="249">
        <f t="shared" si="1"/>
        <v>0</v>
      </c>
      <c r="N23" s="249">
        <f t="shared" si="1"/>
        <v>0</v>
      </c>
      <c r="O23" s="249">
        <f t="shared" si="1"/>
        <v>0</v>
      </c>
      <c r="P23" s="249">
        <f t="shared" si="1"/>
        <v>0</v>
      </c>
      <c r="Q23" s="249">
        <f t="shared" si="1"/>
        <v>0</v>
      </c>
      <c r="R23" s="249">
        <f t="shared" si="1"/>
        <v>0</v>
      </c>
      <c r="S23" s="249">
        <f t="shared" si="1"/>
        <v>0</v>
      </c>
      <c r="T23" s="249">
        <f t="shared" si="1"/>
        <v>0</v>
      </c>
      <c r="U23" s="249">
        <f t="shared" si="1"/>
        <v>0</v>
      </c>
      <c r="V23" s="249">
        <f t="shared" si="1"/>
        <v>41801</v>
      </c>
      <c r="W23" s="249">
        <f t="shared" si="1"/>
        <v>35575</v>
      </c>
      <c r="X23" s="400">
        <f t="shared" si="1"/>
        <v>12935</v>
      </c>
      <c r="Y23" s="249">
        <f t="shared" si="1"/>
        <v>4311</v>
      </c>
      <c r="Z23" s="249">
        <f t="shared" si="1"/>
        <v>4312</v>
      </c>
      <c r="AA23" s="249">
        <f t="shared" si="1"/>
        <v>4312</v>
      </c>
      <c r="AB23" s="395">
        <f aca="true" t="shared" si="2" ref="AB23:AB86">Y23+Z23+AA23</f>
        <v>12935</v>
      </c>
      <c r="AC23" s="249">
        <f t="shared" si="1"/>
        <v>12935</v>
      </c>
      <c r="AD23" s="249">
        <f t="shared" si="1"/>
        <v>4375</v>
      </c>
      <c r="AE23" s="249">
        <f t="shared" si="1"/>
        <v>4375</v>
      </c>
      <c r="AF23" s="249">
        <f t="shared" si="1"/>
        <v>4375</v>
      </c>
      <c r="AG23" s="395">
        <f aca="true" t="shared" si="3" ref="AG23:AG86">AD23+AE23+AF23</f>
        <v>13125</v>
      </c>
    </row>
    <row r="24" spans="1:33" ht="12.75" customHeight="1">
      <c r="A24" s="320" t="s">
        <v>21</v>
      </c>
      <c r="B24" s="105" t="s">
        <v>22</v>
      </c>
      <c r="C24" s="44" t="s">
        <v>26</v>
      </c>
      <c r="D24" s="44" t="s">
        <v>19</v>
      </c>
      <c r="E24" s="44" t="s">
        <v>20</v>
      </c>
      <c r="F24" s="44" t="s">
        <v>23</v>
      </c>
      <c r="G24" s="44" t="s">
        <v>14</v>
      </c>
      <c r="H24" s="44" t="s">
        <v>20</v>
      </c>
      <c r="I24" s="44" t="s">
        <v>16</v>
      </c>
      <c r="J24" s="44" t="s">
        <v>24</v>
      </c>
      <c r="K24" s="249">
        <f>K26</f>
        <v>51740</v>
      </c>
      <c r="L24" s="249">
        <f aca="true" t="shared" si="4" ref="L24:AA24">L26</f>
        <v>0</v>
      </c>
      <c r="M24" s="249">
        <f t="shared" si="4"/>
        <v>0</v>
      </c>
      <c r="N24" s="249">
        <f t="shared" si="4"/>
        <v>0</v>
      </c>
      <c r="O24" s="249">
        <f t="shared" si="4"/>
        <v>0</v>
      </c>
      <c r="P24" s="249">
        <f t="shared" si="4"/>
        <v>0</v>
      </c>
      <c r="Q24" s="249">
        <f t="shared" si="4"/>
        <v>0</v>
      </c>
      <c r="R24" s="249">
        <f t="shared" si="4"/>
        <v>0</v>
      </c>
      <c r="S24" s="249">
        <f t="shared" si="4"/>
        <v>0</v>
      </c>
      <c r="T24" s="249">
        <f t="shared" si="4"/>
        <v>0</v>
      </c>
      <c r="U24" s="249">
        <f t="shared" si="4"/>
        <v>0</v>
      </c>
      <c r="V24" s="249">
        <f t="shared" si="4"/>
        <v>41801</v>
      </c>
      <c r="W24" s="249">
        <f t="shared" si="4"/>
        <v>35575</v>
      </c>
      <c r="X24" s="400">
        <f t="shared" si="4"/>
        <v>12935</v>
      </c>
      <c r="Y24" s="249">
        <f t="shared" si="4"/>
        <v>4311</v>
      </c>
      <c r="Z24" s="249">
        <f t="shared" si="4"/>
        <v>4312</v>
      </c>
      <c r="AA24" s="249">
        <f t="shared" si="4"/>
        <v>4312</v>
      </c>
      <c r="AB24" s="395">
        <f t="shared" si="2"/>
        <v>12935</v>
      </c>
      <c r="AC24" s="249">
        <f>AC26</f>
        <v>12935</v>
      </c>
      <c r="AD24" s="249">
        <f>AD26</f>
        <v>4375</v>
      </c>
      <c r="AE24" s="249">
        <f>AE26</f>
        <v>4375</v>
      </c>
      <c r="AF24" s="249">
        <f>AF26</f>
        <v>4375</v>
      </c>
      <c r="AG24" s="395">
        <f t="shared" si="3"/>
        <v>13125</v>
      </c>
    </row>
    <row r="25" spans="1:33" ht="0.75" customHeight="1">
      <c r="A25" s="320"/>
      <c r="B25" s="74" t="s">
        <v>25</v>
      </c>
      <c r="C25" s="46" t="s">
        <v>26</v>
      </c>
      <c r="D25" s="46" t="s">
        <v>19</v>
      </c>
      <c r="E25" s="46" t="s">
        <v>20</v>
      </c>
      <c r="F25" s="46" t="s">
        <v>23</v>
      </c>
      <c r="G25" s="46" t="s">
        <v>27</v>
      </c>
      <c r="H25" s="46" t="s">
        <v>20</v>
      </c>
      <c r="I25" s="46" t="s">
        <v>16</v>
      </c>
      <c r="J25" s="46" t="s">
        <v>24</v>
      </c>
      <c r="K25" s="64"/>
      <c r="L25" s="391"/>
      <c r="M25" s="391"/>
      <c r="N25" s="391"/>
      <c r="O25" s="391"/>
      <c r="P25" s="391">
        <f aca="true" t="shared" si="5" ref="P25:P53">L25+M25+N25+O25</f>
        <v>0</v>
      </c>
      <c r="Q25" s="391"/>
      <c r="R25" s="391"/>
      <c r="S25" s="391"/>
      <c r="T25" s="391"/>
      <c r="U25" s="391"/>
      <c r="V25" s="391"/>
      <c r="W25" s="391"/>
      <c r="AB25" s="395">
        <f t="shared" si="2"/>
        <v>0</v>
      </c>
      <c r="AG25" s="395">
        <f t="shared" si="3"/>
        <v>0</v>
      </c>
    </row>
    <row r="26" spans="1:33" ht="39" customHeight="1">
      <c r="A26" s="77"/>
      <c r="B26" s="74" t="s">
        <v>28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29</v>
      </c>
      <c r="H26" s="46" t="s">
        <v>20</v>
      </c>
      <c r="I26" s="46" t="s">
        <v>16</v>
      </c>
      <c r="J26" s="46" t="s">
        <v>24</v>
      </c>
      <c r="K26" s="64">
        <f>K27+K28</f>
        <v>51740</v>
      </c>
      <c r="L26" s="64">
        <f aca="true" t="shared" si="6" ref="L26:AA26">L27+L28</f>
        <v>0</v>
      </c>
      <c r="M26" s="64">
        <f t="shared" si="6"/>
        <v>0</v>
      </c>
      <c r="N26" s="64">
        <f t="shared" si="6"/>
        <v>0</v>
      </c>
      <c r="O26" s="64">
        <f t="shared" si="6"/>
        <v>0</v>
      </c>
      <c r="P26" s="64">
        <f t="shared" si="6"/>
        <v>0</v>
      </c>
      <c r="Q26" s="64">
        <f t="shared" si="6"/>
        <v>0</v>
      </c>
      <c r="R26" s="64">
        <f t="shared" si="6"/>
        <v>0</v>
      </c>
      <c r="S26" s="64">
        <f t="shared" si="6"/>
        <v>0</v>
      </c>
      <c r="T26" s="64">
        <f t="shared" si="6"/>
        <v>0</v>
      </c>
      <c r="U26" s="64">
        <f t="shared" si="6"/>
        <v>0</v>
      </c>
      <c r="V26" s="64">
        <f t="shared" si="6"/>
        <v>41801</v>
      </c>
      <c r="W26" s="64">
        <f t="shared" si="6"/>
        <v>35575</v>
      </c>
      <c r="X26" s="218">
        <f t="shared" si="6"/>
        <v>12935</v>
      </c>
      <c r="Y26" s="64">
        <f t="shared" si="6"/>
        <v>4311</v>
      </c>
      <c r="Z26" s="64">
        <f t="shared" si="6"/>
        <v>4312</v>
      </c>
      <c r="AA26" s="64">
        <f t="shared" si="6"/>
        <v>4312</v>
      </c>
      <c r="AB26" s="395">
        <f t="shared" si="2"/>
        <v>12935</v>
      </c>
      <c r="AC26" s="64">
        <f>AC27+AC28</f>
        <v>12935</v>
      </c>
      <c r="AD26" s="64">
        <f>AD27+AD28</f>
        <v>4375</v>
      </c>
      <c r="AE26" s="64">
        <f>AE27+AE28</f>
        <v>4375</v>
      </c>
      <c r="AF26" s="64">
        <f>AF27+AF28</f>
        <v>4375</v>
      </c>
      <c r="AG26" s="395">
        <f t="shared" si="3"/>
        <v>13125</v>
      </c>
    </row>
    <row r="27" spans="1:33" ht="71.25" customHeight="1">
      <c r="A27" s="77"/>
      <c r="B27" s="74" t="s">
        <v>30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31</v>
      </c>
      <c r="H27" s="46" t="s">
        <v>20</v>
      </c>
      <c r="I27" s="46" t="s">
        <v>16</v>
      </c>
      <c r="J27" s="46" t="s">
        <v>24</v>
      </c>
      <c r="K27" s="64">
        <v>51360</v>
      </c>
      <c r="L27" s="391"/>
      <c r="M27" s="391"/>
      <c r="N27" s="391"/>
      <c r="O27" s="391"/>
      <c r="P27" s="391">
        <f t="shared" si="5"/>
        <v>0</v>
      </c>
      <c r="Q27" s="391"/>
      <c r="R27" s="391"/>
      <c r="S27" s="391"/>
      <c r="T27" s="391"/>
      <c r="U27" s="391"/>
      <c r="V27" s="391">
        <v>41481</v>
      </c>
      <c r="W27" s="391">
        <v>35405</v>
      </c>
      <c r="X27" s="210">
        <v>12840</v>
      </c>
      <c r="Y27" s="394">
        <v>4280</v>
      </c>
      <c r="Z27" s="394">
        <v>4280</v>
      </c>
      <c r="AA27" s="394">
        <v>4280</v>
      </c>
      <c r="AB27" s="395">
        <f t="shared" si="2"/>
        <v>12840</v>
      </c>
      <c r="AC27" s="394">
        <v>12840</v>
      </c>
      <c r="AD27" s="394">
        <v>4280</v>
      </c>
      <c r="AE27" s="394">
        <v>4280</v>
      </c>
      <c r="AF27" s="394">
        <v>4280</v>
      </c>
      <c r="AG27" s="395">
        <f t="shared" si="3"/>
        <v>12840</v>
      </c>
    </row>
    <row r="28" spans="1:33" ht="62.25" customHeight="1">
      <c r="A28" s="77"/>
      <c r="B28" s="74" t="s">
        <v>32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33</v>
      </c>
      <c r="H28" s="46" t="s">
        <v>20</v>
      </c>
      <c r="I28" s="46" t="s">
        <v>16</v>
      </c>
      <c r="J28" s="46" t="s">
        <v>24</v>
      </c>
      <c r="K28" s="64">
        <v>380</v>
      </c>
      <c r="L28" s="391"/>
      <c r="M28" s="391"/>
      <c r="N28" s="391"/>
      <c r="O28" s="391"/>
      <c r="P28" s="391">
        <f t="shared" si="5"/>
        <v>0</v>
      </c>
      <c r="Q28" s="391"/>
      <c r="R28" s="391"/>
      <c r="S28" s="391"/>
      <c r="T28" s="391"/>
      <c r="U28" s="391"/>
      <c r="V28" s="391">
        <v>320</v>
      </c>
      <c r="W28" s="391">
        <v>170</v>
      </c>
      <c r="X28" s="210">
        <v>95</v>
      </c>
      <c r="Y28" s="394">
        <v>31</v>
      </c>
      <c r="Z28" s="394">
        <v>32</v>
      </c>
      <c r="AA28" s="394">
        <v>32</v>
      </c>
      <c r="AB28" s="395">
        <f t="shared" si="2"/>
        <v>95</v>
      </c>
      <c r="AC28" s="394">
        <v>95</v>
      </c>
      <c r="AD28" s="394">
        <v>95</v>
      </c>
      <c r="AE28" s="394">
        <v>95</v>
      </c>
      <c r="AF28" s="394">
        <v>95</v>
      </c>
      <c r="AG28" s="395">
        <f t="shared" si="3"/>
        <v>285</v>
      </c>
    </row>
    <row r="29" spans="1:33" ht="0.75" customHeight="1">
      <c r="A29" s="77"/>
      <c r="B29" s="74" t="s">
        <v>34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35</v>
      </c>
      <c r="H29" s="46" t="s">
        <v>20</v>
      </c>
      <c r="I29" s="46" t="s">
        <v>16</v>
      </c>
      <c r="J29" s="46" t="s">
        <v>24</v>
      </c>
      <c r="K29" s="64"/>
      <c r="L29" s="391"/>
      <c r="M29" s="391"/>
      <c r="N29" s="391"/>
      <c r="O29" s="391"/>
      <c r="P29" s="391">
        <f t="shared" si="5"/>
        <v>0</v>
      </c>
      <c r="Q29" s="391"/>
      <c r="R29" s="391"/>
      <c r="S29" s="391"/>
      <c r="T29" s="391"/>
      <c r="U29" s="391"/>
      <c r="V29" s="391"/>
      <c r="W29" s="391"/>
      <c r="AB29" s="395">
        <f t="shared" si="2"/>
        <v>0</v>
      </c>
      <c r="AG29" s="395">
        <f t="shared" si="3"/>
        <v>0</v>
      </c>
    </row>
    <row r="30" spans="1:33" ht="12.75">
      <c r="A30" s="320" t="s">
        <v>36</v>
      </c>
      <c r="B30" s="368" t="s">
        <v>37</v>
      </c>
      <c r="C30" s="44" t="s">
        <v>14</v>
      </c>
      <c r="D30" s="44" t="s">
        <v>19</v>
      </c>
      <c r="E30" s="44" t="s">
        <v>38</v>
      </c>
      <c r="F30" s="44" t="s">
        <v>15</v>
      </c>
      <c r="G30" s="44" t="s">
        <v>14</v>
      </c>
      <c r="H30" s="44" t="s">
        <v>15</v>
      </c>
      <c r="I30" s="44" t="s">
        <v>16</v>
      </c>
      <c r="J30" s="44" t="s">
        <v>14</v>
      </c>
      <c r="K30" s="249">
        <f>K31+K32</f>
        <v>8420</v>
      </c>
      <c r="L30" s="249">
        <f aca="true" t="shared" si="7" ref="L30:AA30">L31+L32</f>
        <v>1774</v>
      </c>
      <c r="M30" s="249">
        <f t="shared" si="7"/>
        <v>1774</v>
      </c>
      <c r="N30" s="249">
        <f t="shared" si="7"/>
        <v>1774</v>
      </c>
      <c r="O30" s="249">
        <f t="shared" si="7"/>
        <v>1774.1</v>
      </c>
      <c r="P30" s="249">
        <f t="shared" si="7"/>
        <v>7096.1</v>
      </c>
      <c r="Q30" s="249">
        <f t="shared" si="7"/>
        <v>50</v>
      </c>
      <c r="R30" s="249">
        <f t="shared" si="7"/>
        <v>0</v>
      </c>
      <c r="S30" s="249">
        <f t="shared" si="7"/>
        <v>0</v>
      </c>
      <c r="T30" s="249">
        <f t="shared" si="7"/>
        <v>0</v>
      </c>
      <c r="U30" s="249">
        <f t="shared" si="7"/>
        <v>0</v>
      </c>
      <c r="V30" s="249">
        <f t="shared" si="7"/>
        <v>7250</v>
      </c>
      <c r="W30" s="249">
        <f t="shared" si="7"/>
        <v>6536</v>
      </c>
      <c r="X30" s="400">
        <f t="shared" si="7"/>
        <v>1780</v>
      </c>
      <c r="Y30" s="249">
        <f t="shared" si="7"/>
        <v>700</v>
      </c>
      <c r="Z30" s="249">
        <f t="shared" si="7"/>
        <v>700</v>
      </c>
      <c r="AA30" s="249">
        <f t="shared" si="7"/>
        <v>380</v>
      </c>
      <c r="AB30" s="395">
        <f t="shared" si="2"/>
        <v>1780</v>
      </c>
      <c r="AC30" s="249">
        <f>AC31+AC32</f>
        <v>2219</v>
      </c>
      <c r="AD30" s="249">
        <f>AD31+AD32</f>
        <v>1017</v>
      </c>
      <c r="AE30" s="249">
        <f>AE31+AE32</f>
        <v>1000</v>
      </c>
      <c r="AF30" s="249">
        <f>AF31+AF32</f>
        <v>202</v>
      </c>
      <c r="AG30" s="395">
        <f t="shared" si="3"/>
        <v>2219</v>
      </c>
    </row>
    <row r="31" spans="1:33" ht="12.75">
      <c r="A31" s="321" t="s">
        <v>39</v>
      </c>
      <c r="B31" s="93" t="s">
        <v>40</v>
      </c>
      <c r="C31" s="46" t="s">
        <v>26</v>
      </c>
      <c r="D31" s="46" t="s">
        <v>19</v>
      </c>
      <c r="E31" s="46" t="s">
        <v>38</v>
      </c>
      <c r="F31" s="46" t="s">
        <v>23</v>
      </c>
      <c r="G31" s="46" t="s">
        <v>14</v>
      </c>
      <c r="H31" s="46" t="s">
        <v>23</v>
      </c>
      <c r="I31" s="46" t="s">
        <v>16</v>
      </c>
      <c r="J31" s="46" t="s">
        <v>24</v>
      </c>
      <c r="K31" s="64">
        <v>8387</v>
      </c>
      <c r="L31" s="391">
        <v>1757.5</v>
      </c>
      <c r="M31" s="391">
        <v>1757.5</v>
      </c>
      <c r="N31" s="391">
        <v>1757.5</v>
      </c>
      <c r="O31" s="391">
        <v>1757.5</v>
      </c>
      <c r="P31" s="391">
        <f t="shared" si="5"/>
        <v>7030</v>
      </c>
      <c r="Q31" s="391"/>
      <c r="R31" s="391"/>
      <c r="S31" s="391"/>
      <c r="T31" s="391"/>
      <c r="U31" s="391"/>
      <c r="V31" s="391">
        <v>7304</v>
      </c>
      <c r="W31" s="391">
        <v>6233</v>
      </c>
      <c r="X31" s="210">
        <v>1780</v>
      </c>
      <c r="Y31" s="394">
        <v>700</v>
      </c>
      <c r="Z31" s="394">
        <v>700</v>
      </c>
      <c r="AA31" s="394">
        <v>380</v>
      </c>
      <c r="AB31" s="395">
        <f t="shared" si="2"/>
        <v>1780</v>
      </c>
      <c r="AC31" s="394">
        <v>2202</v>
      </c>
      <c r="AD31" s="394">
        <v>1000</v>
      </c>
      <c r="AE31" s="394">
        <v>1000</v>
      </c>
      <c r="AF31" s="394">
        <v>202</v>
      </c>
      <c r="AG31" s="395">
        <f t="shared" si="3"/>
        <v>2202</v>
      </c>
    </row>
    <row r="32" spans="1:33" ht="12.75">
      <c r="A32" s="321" t="s">
        <v>41</v>
      </c>
      <c r="B32" s="93" t="s">
        <v>256</v>
      </c>
      <c r="C32" s="46" t="s">
        <v>26</v>
      </c>
      <c r="D32" s="46" t="s">
        <v>19</v>
      </c>
      <c r="E32" s="46" t="s">
        <v>38</v>
      </c>
      <c r="F32" s="46" t="s">
        <v>42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33</v>
      </c>
      <c r="L32" s="391">
        <v>16.5</v>
      </c>
      <c r="M32" s="391">
        <v>16.5</v>
      </c>
      <c r="N32" s="391">
        <v>16.5</v>
      </c>
      <c r="O32" s="391">
        <v>16.6</v>
      </c>
      <c r="P32" s="391">
        <f t="shared" si="5"/>
        <v>66.1</v>
      </c>
      <c r="Q32" s="391">
        <v>50</v>
      </c>
      <c r="R32" s="391"/>
      <c r="S32" s="391"/>
      <c r="T32" s="391"/>
      <c r="U32" s="391"/>
      <c r="V32" s="391">
        <v>-54</v>
      </c>
      <c r="W32" s="391">
        <v>303</v>
      </c>
      <c r="X32" s="210">
        <v>0</v>
      </c>
      <c r="Y32" s="396">
        <v>0</v>
      </c>
      <c r="Z32" s="396">
        <v>0</v>
      </c>
      <c r="AA32" s="396">
        <v>0</v>
      </c>
      <c r="AB32" s="395">
        <f t="shared" si="2"/>
        <v>0</v>
      </c>
      <c r="AC32">
        <v>17</v>
      </c>
      <c r="AD32" s="396">
        <v>17</v>
      </c>
      <c r="AE32" s="396">
        <v>0</v>
      </c>
      <c r="AF32" s="396">
        <v>0</v>
      </c>
      <c r="AG32" s="395">
        <f t="shared" si="3"/>
        <v>17</v>
      </c>
    </row>
    <row r="33" spans="1:33" ht="0.75" customHeight="1">
      <c r="A33" s="322" t="s">
        <v>44</v>
      </c>
      <c r="B33" s="368" t="s">
        <v>45</v>
      </c>
      <c r="C33" s="44" t="s">
        <v>14</v>
      </c>
      <c r="D33" s="44" t="s">
        <v>19</v>
      </c>
      <c r="E33" s="44" t="s">
        <v>46</v>
      </c>
      <c r="F33" s="44" t="s">
        <v>15</v>
      </c>
      <c r="G33" s="44" t="s">
        <v>14</v>
      </c>
      <c r="H33" s="44" t="s">
        <v>15</v>
      </c>
      <c r="I33" s="44" t="s">
        <v>16</v>
      </c>
      <c r="J33" s="44" t="s">
        <v>14</v>
      </c>
      <c r="K33" s="249">
        <f>K34+K35+K36</f>
        <v>0</v>
      </c>
      <c r="L33" s="391"/>
      <c r="M33" s="391"/>
      <c r="N33" s="391"/>
      <c r="O33" s="391"/>
      <c r="P33" s="391">
        <f t="shared" si="5"/>
        <v>0</v>
      </c>
      <c r="Q33" s="391"/>
      <c r="R33" s="391"/>
      <c r="S33" s="391"/>
      <c r="T33" s="391"/>
      <c r="U33" s="391"/>
      <c r="V33" s="391"/>
      <c r="W33" s="391"/>
      <c r="AB33" s="395">
        <f t="shared" si="2"/>
        <v>0</v>
      </c>
      <c r="AG33" s="395">
        <f t="shared" si="3"/>
        <v>0</v>
      </c>
    </row>
    <row r="34" spans="1:33" ht="12" customHeight="1" hidden="1">
      <c r="A34" s="322"/>
      <c r="B34" s="93" t="s">
        <v>47</v>
      </c>
      <c r="C34" s="46" t="s">
        <v>26</v>
      </c>
      <c r="D34" s="46" t="s">
        <v>19</v>
      </c>
      <c r="E34" s="46" t="s">
        <v>46</v>
      </c>
      <c r="F34" s="46" t="s">
        <v>20</v>
      </c>
      <c r="G34" s="46" t="s">
        <v>85</v>
      </c>
      <c r="H34" s="46" t="s">
        <v>38</v>
      </c>
      <c r="I34" s="46" t="s">
        <v>16</v>
      </c>
      <c r="J34" s="46" t="s">
        <v>24</v>
      </c>
      <c r="K34" s="64">
        <v>0</v>
      </c>
      <c r="L34" s="391"/>
      <c r="M34" s="391"/>
      <c r="N34" s="391"/>
      <c r="O34" s="391"/>
      <c r="P34" s="391">
        <f t="shared" si="5"/>
        <v>0</v>
      </c>
      <c r="Q34" s="391"/>
      <c r="R34" s="391"/>
      <c r="S34" s="391"/>
      <c r="T34" s="391"/>
      <c r="U34" s="391"/>
      <c r="V34" s="391"/>
      <c r="W34" s="391"/>
      <c r="AB34" s="395">
        <f t="shared" si="2"/>
        <v>0</v>
      </c>
      <c r="AG34" s="395">
        <f t="shared" si="3"/>
        <v>0</v>
      </c>
    </row>
    <row r="35" spans="1:33" ht="12.75" hidden="1">
      <c r="A35" s="322"/>
      <c r="B35" s="93" t="s">
        <v>170</v>
      </c>
      <c r="C35" s="46" t="s">
        <v>26</v>
      </c>
      <c r="D35" s="46" t="s">
        <v>19</v>
      </c>
      <c r="E35" s="46" t="s">
        <v>46</v>
      </c>
      <c r="F35" s="46" t="s">
        <v>23</v>
      </c>
      <c r="G35" s="46" t="s">
        <v>14</v>
      </c>
      <c r="H35" s="46" t="s">
        <v>23</v>
      </c>
      <c r="I35" s="46" t="s">
        <v>16</v>
      </c>
      <c r="J35" s="46" t="s">
        <v>24</v>
      </c>
      <c r="K35" s="64">
        <v>0</v>
      </c>
      <c r="L35" s="391"/>
      <c r="M35" s="391"/>
      <c r="N35" s="391"/>
      <c r="O35" s="391"/>
      <c r="P35" s="391">
        <f t="shared" si="5"/>
        <v>0</v>
      </c>
      <c r="Q35" s="391"/>
      <c r="R35" s="391"/>
      <c r="S35" s="391"/>
      <c r="T35" s="391"/>
      <c r="U35" s="391"/>
      <c r="V35" s="391"/>
      <c r="W35" s="391"/>
      <c r="AB35" s="395">
        <f t="shared" si="2"/>
        <v>0</v>
      </c>
      <c r="AG35" s="395">
        <f t="shared" si="3"/>
        <v>0</v>
      </c>
    </row>
    <row r="36" spans="1:33" ht="12" customHeight="1" hidden="1">
      <c r="A36" s="322"/>
      <c r="B36" s="93" t="s">
        <v>49</v>
      </c>
      <c r="C36" s="46" t="s">
        <v>26</v>
      </c>
      <c r="D36" s="46" t="s">
        <v>19</v>
      </c>
      <c r="E36" s="46" t="s">
        <v>46</v>
      </c>
      <c r="F36" s="46" t="s">
        <v>46</v>
      </c>
      <c r="G36" s="46" t="s">
        <v>151</v>
      </c>
      <c r="H36" s="46" t="s">
        <v>38</v>
      </c>
      <c r="I36" s="46" t="s">
        <v>16</v>
      </c>
      <c r="J36" s="46" t="s">
        <v>24</v>
      </c>
      <c r="K36" s="64">
        <v>0</v>
      </c>
      <c r="L36" s="391"/>
      <c r="M36" s="391"/>
      <c r="N36" s="391"/>
      <c r="O36" s="391"/>
      <c r="P36" s="391">
        <f t="shared" si="5"/>
        <v>0</v>
      </c>
      <c r="Q36" s="391"/>
      <c r="R36" s="391"/>
      <c r="S36" s="391"/>
      <c r="T36" s="391"/>
      <c r="U36" s="391"/>
      <c r="V36" s="391"/>
      <c r="W36" s="391"/>
      <c r="AB36" s="395">
        <f t="shared" si="2"/>
        <v>0</v>
      </c>
      <c r="AG36" s="395">
        <f t="shared" si="3"/>
        <v>0</v>
      </c>
    </row>
    <row r="37" spans="1:33" ht="15.75" customHeight="1">
      <c r="A37" s="322" t="s">
        <v>44</v>
      </c>
      <c r="B37" s="368" t="s">
        <v>51</v>
      </c>
      <c r="C37" s="44" t="s">
        <v>14</v>
      </c>
      <c r="D37" s="44" t="s">
        <v>19</v>
      </c>
      <c r="E37" s="44" t="s">
        <v>52</v>
      </c>
      <c r="F37" s="44" t="s">
        <v>15</v>
      </c>
      <c r="G37" s="44" t="s">
        <v>14</v>
      </c>
      <c r="H37" s="44" t="s">
        <v>15</v>
      </c>
      <c r="I37" s="44" t="s">
        <v>16</v>
      </c>
      <c r="J37" s="44" t="s">
        <v>14</v>
      </c>
      <c r="K37" s="249">
        <f>K38+K39+K40</f>
        <v>2610</v>
      </c>
      <c r="L37" s="249">
        <f aca="true" t="shared" si="8" ref="L37:AA37">L38+L39+L40</f>
        <v>457.2</v>
      </c>
      <c r="M37" s="249">
        <f t="shared" si="8"/>
        <v>457.3</v>
      </c>
      <c r="N37" s="249">
        <f t="shared" si="8"/>
        <v>457.2</v>
      </c>
      <c r="O37" s="249">
        <f t="shared" si="8"/>
        <v>457.3</v>
      </c>
      <c r="P37" s="249">
        <f t="shared" si="8"/>
        <v>1829</v>
      </c>
      <c r="Q37" s="249">
        <f t="shared" si="8"/>
        <v>0</v>
      </c>
      <c r="R37" s="249">
        <f t="shared" si="8"/>
        <v>0</v>
      </c>
      <c r="S37" s="249">
        <f t="shared" si="8"/>
        <v>0</v>
      </c>
      <c r="T37" s="249">
        <f t="shared" si="8"/>
        <v>0</v>
      </c>
      <c r="U37" s="249">
        <f t="shared" si="8"/>
        <v>0</v>
      </c>
      <c r="V37" s="249">
        <f t="shared" si="8"/>
        <v>2529.5</v>
      </c>
      <c r="W37" s="249">
        <f t="shared" si="8"/>
        <v>2180</v>
      </c>
      <c r="X37" s="400">
        <f t="shared" si="8"/>
        <v>652</v>
      </c>
      <c r="Y37" s="249">
        <f t="shared" si="8"/>
        <v>215</v>
      </c>
      <c r="Z37" s="249">
        <f t="shared" si="8"/>
        <v>217</v>
      </c>
      <c r="AA37" s="249">
        <f t="shared" si="8"/>
        <v>220</v>
      </c>
      <c r="AB37" s="395">
        <f t="shared" si="2"/>
        <v>652</v>
      </c>
      <c r="AC37" s="249">
        <f>AC38+AC39+AC40</f>
        <v>652</v>
      </c>
      <c r="AD37" s="249">
        <f>AD38+AD39+AD40</f>
        <v>142</v>
      </c>
      <c r="AE37" s="249">
        <f>AE38+AE39+AE40</f>
        <v>141</v>
      </c>
      <c r="AF37" s="249">
        <f>AF38+AF39+AF40</f>
        <v>142</v>
      </c>
      <c r="AG37" s="395">
        <f t="shared" si="3"/>
        <v>425</v>
      </c>
    </row>
    <row r="38" spans="1:33" ht="36">
      <c r="A38" s="374" t="s">
        <v>306</v>
      </c>
      <c r="B38" s="93" t="s">
        <v>333</v>
      </c>
      <c r="C38" s="46" t="s">
        <v>26</v>
      </c>
      <c r="D38" s="46" t="s">
        <v>19</v>
      </c>
      <c r="E38" s="46" t="s">
        <v>52</v>
      </c>
      <c r="F38" s="46" t="s">
        <v>42</v>
      </c>
      <c r="G38" s="46" t="s">
        <v>27</v>
      </c>
      <c r="H38" s="46" t="s">
        <v>20</v>
      </c>
      <c r="I38" s="46" t="s">
        <v>16</v>
      </c>
      <c r="J38" s="46" t="s">
        <v>24</v>
      </c>
      <c r="K38" s="64">
        <f>880+30</f>
        <v>910</v>
      </c>
      <c r="L38" s="391">
        <v>457.2</v>
      </c>
      <c r="M38" s="391">
        <v>457.3</v>
      </c>
      <c r="N38" s="391">
        <v>457.2</v>
      </c>
      <c r="O38" s="391">
        <v>457.3</v>
      </c>
      <c r="P38" s="391">
        <f t="shared" si="5"/>
        <v>1829</v>
      </c>
      <c r="Q38" s="391"/>
      <c r="R38" s="391"/>
      <c r="S38" s="391"/>
      <c r="T38" s="391"/>
      <c r="U38" s="391"/>
      <c r="V38" s="391">
        <v>906</v>
      </c>
      <c r="W38" s="391">
        <v>748</v>
      </c>
      <c r="X38" s="210">
        <v>227</v>
      </c>
      <c r="Y38" s="394">
        <v>75</v>
      </c>
      <c r="Z38" s="394">
        <v>75</v>
      </c>
      <c r="AA38" s="394">
        <v>77</v>
      </c>
      <c r="AB38" s="395">
        <f t="shared" si="2"/>
        <v>227</v>
      </c>
      <c r="AC38" s="394">
        <v>227</v>
      </c>
      <c r="AD38" s="394"/>
      <c r="AE38" s="394"/>
      <c r="AF38" s="394"/>
      <c r="AG38" s="395">
        <f t="shared" si="3"/>
        <v>0</v>
      </c>
    </row>
    <row r="39" spans="1:33" ht="63" customHeight="1">
      <c r="A39" s="374" t="s">
        <v>314</v>
      </c>
      <c r="B39" s="93" t="s">
        <v>334</v>
      </c>
      <c r="C39" s="46" t="s">
        <v>14</v>
      </c>
      <c r="D39" s="46" t="s">
        <v>19</v>
      </c>
      <c r="E39" s="46" t="s">
        <v>52</v>
      </c>
      <c r="F39" s="46" t="s">
        <v>55</v>
      </c>
      <c r="G39" s="46" t="s">
        <v>272</v>
      </c>
      <c r="H39" s="46" t="s">
        <v>20</v>
      </c>
      <c r="I39" s="46" t="s">
        <v>16</v>
      </c>
      <c r="J39" s="46" t="s">
        <v>24</v>
      </c>
      <c r="K39" s="64">
        <f>1630+70</f>
        <v>1700</v>
      </c>
      <c r="L39" s="391"/>
      <c r="M39" s="391"/>
      <c r="N39" s="391"/>
      <c r="O39" s="391"/>
      <c r="P39" s="391">
        <f t="shared" si="5"/>
        <v>0</v>
      </c>
      <c r="Q39" s="391"/>
      <c r="R39" s="391"/>
      <c r="S39" s="391"/>
      <c r="T39" s="391"/>
      <c r="U39" s="391"/>
      <c r="V39" s="391">
        <v>1616</v>
      </c>
      <c r="W39" s="391">
        <v>1423</v>
      </c>
      <c r="X39" s="210">
        <v>425</v>
      </c>
      <c r="Y39" s="394">
        <v>140</v>
      </c>
      <c r="Z39" s="394">
        <v>142</v>
      </c>
      <c r="AA39" s="394">
        <v>143</v>
      </c>
      <c r="AB39" s="395">
        <f t="shared" si="2"/>
        <v>425</v>
      </c>
      <c r="AC39" s="394">
        <v>425</v>
      </c>
      <c r="AD39" s="394">
        <v>142</v>
      </c>
      <c r="AE39" s="394">
        <v>141</v>
      </c>
      <c r="AF39" s="394">
        <v>142</v>
      </c>
      <c r="AG39" s="395">
        <f t="shared" si="3"/>
        <v>425</v>
      </c>
    </row>
    <row r="40" spans="1:33" ht="24" hidden="1">
      <c r="A40" s="374"/>
      <c r="B40" s="93" t="s">
        <v>316</v>
      </c>
      <c r="C40" s="46" t="s">
        <v>270</v>
      </c>
      <c r="D40" s="46" t="s">
        <v>19</v>
      </c>
      <c r="E40" s="46" t="s">
        <v>52</v>
      </c>
      <c r="F40" s="46" t="s">
        <v>55</v>
      </c>
      <c r="G40" s="46" t="s">
        <v>317</v>
      </c>
      <c r="H40" s="46" t="s">
        <v>20</v>
      </c>
      <c r="I40" s="46" t="s">
        <v>16</v>
      </c>
      <c r="J40" s="46" t="s">
        <v>24</v>
      </c>
      <c r="K40" s="64">
        <v>0</v>
      </c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>
        <v>7.5</v>
      </c>
      <c r="W40" s="391">
        <v>9</v>
      </c>
      <c r="AB40" s="395">
        <f t="shared" si="2"/>
        <v>0</v>
      </c>
      <c r="AG40" s="395">
        <f t="shared" si="3"/>
        <v>0</v>
      </c>
    </row>
    <row r="41" spans="1:33" ht="24.75" customHeight="1">
      <c r="A41" s="320" t="s">
        <v>50</v>
      </c>
      <c r="B41" s="323" t="s">
        <v>148</v>
      </c>
      <c r="C41" s="44" t="s">
        <v>14</v>
      </c>
      <c r="D41" s="44" t="s">
        <v>19</v>
      </c>
      <c r="E41" s="44" t="s">
        <v>63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249">
        <f>K43+K47</f>
        <v>6884</v>
      </c>
      <c r="L41" s="249">
        <f aca="true" t="shared" si="9" ref="L41:AA41">L43+L47</f>
        <v>1453.1</v>
      </c>
      <c r="M41" s="249">
        <f t="shared" si="9"/>
        <v>1453.1</v>
      </c>
      <c r="N41" s="249">
        <f t="shared" si="9"/>
        <v>1453.1</v>
      </c>
      <c r="O41" s="249">
        <f t="shared" si="9"/>
        <v>1453.2</v>
      </c>
      <c r="P41" s="249">
        <f t="shared" si="9"/>
        <v>5812.5</v>
      </c>
      <c r="Q41" s="249">
        <f t="shared" si="9"/>
        <v>350</v>
      </c>
      <c r="R41" s="249">
        <f t="shared" si="9"/>
        <v>0</v>
      </c>
      <c r="S41" s="249">
        <f t="shared" si="9"/>
        <v>0</v>
      </c>
      <c r="T41" s="249">
        <f t="shared" si="9"/>
        <v>0</v>
      </c>
      <c r="U41" s="249">
        <f t="shared" si="9"/>
        <v>0</v>
      </c>
      <c r="V41" s="249">
        <f t="shared" si="9"/>
        <v>6620</v>
      </c>
      <c r="W41" s="249">
        <f t="shared" si="9"/>
        <v>8731</v>
      </c>
      <c r="X41" s="400">
        <f t="shared" si="9"/>
        <v>1075</v>
      </c>
      <c r="Y41" s="249">
        <f t="shared" si="9"/>
        <v>358</v>
      </c>
      <c r="Z41" s="249">
        <f t="shared" si="9"/>
        <v>358</v>
      </c>
      <c r="AA41" s="249">
        <f t="shared" si="9"/>
        <v>359</v>
      </c>
      <c r="AB41" s="395">
        <f t="shared" si="2"/>
        <v>1075</v>
      </c>
      <c r="AC41" s="249">
        <f>AC43+AC47</f>
        <v>0</v>
      </c>
      <c r="AD41" s="249">
        <f>AD43+AD47</f>
        <v>0</v>
      </c>
      <c r="AE41" s="249">
        <f>AE43+AE47</f>
        <v>0</v>
      </c>
      <c r="AF41" s="249">
        <f>AF43+AF47</f>
        <v>0</v>
      </c>
      <c r="AG41" s="395">
        <f t="shared" si="3"/>
        <v>0</v>
      </c>
    </row>
    <row r="42" spans="1:33" ht="0.75" customHeight="1">
      <c r="A42" s="321"/>
      <c r="B42" s="323"/>
      <c r="C42" s="44"/>
      <c r="D42" s="44"/>
      <c r="E42" s="44"/>
      <c r="F42" s="44"/>
      <c r="G42" s="44"/>
      <c r="H42" s="44"/>
      <c r="I42" s="44"/>
      <c r="J42" s="44"/>
      <c r="K42" s="249"/>
      <c r="L42" s="391"/>
      <c r="M42" s="391"/>
      <c r="N42" s="391"/>
      <c r="O42" s="391"/>
      <c r="P42" s="391">
        <f t="shared" si="5"/>
        <v>0</v>
      </c>
      <c r="Q42" s="391"/>
      <c r="R42" s="391"/>
      <c r="S42" s="391"/>
      <c r="T42" s="391"/>
      <c r="U42" s="391"/>
      <c r="V42" s="391"/>
      <c r="W42" s="391"/>
      <c r="AB42" s="395">
        <f t="shared" si="2"/>
        <v>0</v>
      </c>
      <c r="AG42" s="395">
        <f t="shared" si="3"/>
        <v>0</v>
      </c>
    </row>
    <row r="43" spans="1:33" ht="40.5" customHeight="1" hidden="1">
      <c r="A43" s="324" t="s">
        <v>285</v>
      </c>
      <c r="B43" s="122" t="s">
        <v>326</v>
      </c>
      <c r="C43" s="115" t="s">
        <v>14</v>
      </c>
      <c r="D43" s="115">
        <v>1</v>
      </c>
      <c r="E43" s="115">
        <v>11</v>
      </c>
      <c r="F43" s="115" t="s">
        <v>38</v>
      </c>
      <c r="G43" s="115" t="s">
        <v>14</v>
      </c>
      <c r="H43" s="115" t="s">
        <v>15</v>
      </c>
      <c r="I43" s="115" t="s">
        <v>16</v>
      </c>
      <c r="J43" s="115" t="s">
        <v>65</v>
      </c>
      <c r="K43" s="250">
        <f>K44+K45</f>
        <v>2584</v>
      </c>
      <c r="L43" s="250">
        <f aca="true" t="shared" si="10" ref="L43:W43">L44+L45</f>
        <v>403.1</v>
      </c>
      <c r="M43" s="250">
        <f t="shared" si="10"/>
        <v>403.1</v>
      </c>
      <c r="N43" s="250">
        <f t="shared" si="10"/>
        <v>403.1</v>
      </c>
      <c r="O43" s="250">
        <f t="shared" si="10"/>
        <v>403.2</v>
      </c>
      <c r="P43" s="250">
        <f t="shared" si="10"/>
        <v>1612.5000000000002</v>
      </c>
      <c r="Q43" s="250">
        <f t="shared" si="10"/>
        <v>350</v>
      </c>
      <c r="R43" s="250">
        <f t="shared" si="10"/>
        <v>0</v>
      </c>
      <c r="S43" s="250">
        <f t="shared" si="10"/>
        <v>0</v>
      </c>
      <c r="T43" s="250">
        <f t="shared" si="10"/>
        <v>0</v>
      </c>
      <c r="U43" s="250">
        <f t="shared" si="10"/>
        <v>0</v>
      </c>
      <c r="V43" s="250">
        <f t="shared" si="10"/>
        <v>2121</v>
      </c>
      <c r="W43" s="250">
        <f t="shared" si="10"/>
        <v>2257</v>
      </c>
      <c r="AB43" s="395">
        <f t="shared" si="2"/>
        <v>0</v>
      </c>
      <c r="AG43" s="395">
        <f t="shared" si="3"/>
        <v>0</v>
      </c>
    </row>
    <row r="44" spans="1:33" ht="37.5" customHeight="1">
      <c r="A44" s="325"/>
      <c r="B44" s="370" t="s">
        <v>318</v>
      </c>
      <c r="C44" s="371" t="s">
        <v>270</v>
      </c>
      <c r="D44" s="371" t="s">
        <v>19</v>
      </c>
      <c r="E44" s="371" t="s">
        <v>63</v>
      </c>
      <c r="F44" s="371" t="s">
        <v>20</v>
      </c>
      <c r="G44" s="371" t="s">
        <v>159</v>
      </c>
      <c r="H44" s="371" t="s">
        <v>38</v>
      </c>
      <c r="I44" s="371" t="s">
        <v>16</v>
      </c>
      <c r="J44" s="371" t="s">
        <v>65</v>
      </c>
      <c r="K44" s="251">
        <v>30</v>
      </c>
      <c r="L44" s="391">
        <v>403.1</v>
      </c>
      <c r="M44" s="391">
        <v>403.1</v>
      </c>
      <c r="N44" s="391">
        <v>403.1</v>
      </c>
      <c r="O44" s="391">
        <v>403.2</v>
      </c>
      <c r="P44" s="391">
        <f t="shared" si="5"/>
        <v>1612.5000000000002</v>
      </c>
      <c r="Q44" s="391">
        <v>350</v>
      </c>
      <c r="R44" s="391"/>
      <c r="S44" s="391"/>
      <c r="T44" s="391"/>
      <c r="U44" s="391"/>
      <c r="V44" s="391">
        <v>369</v>
      </c>
      <c r="W44" s="391">
        <v>0</v>
      </c>
      <c r="X44" s="210">
        <v>7</v>
      </c>
      <c r="Y44" s="394">
        <v>0</v>
      </c>
      <c r="Z44" s="394">
        <v>0</v>
      </c>
      <c r="AA44" s="394">
        <v>7</v>
      </c>
      <c r="AB44" s="395">
        <f t="shared" si="2"/>
        <v>7</v>
      </c>
      <c r="AD44" s="394"/>
      <c r="AE44" s="394"/>
      <c r="AF44" s="394"/>
      <c r="AG44" s="395">
        <f t="shared" si="3"/>
        <v>0</v>
      </c>
    </row>
    <row r="45" spans="1:33" ht="52.5" customHeight="1">
      <c r="A45" s="320"/>
      <c r="B45" s="375" t="s">
        <v>319</v>
      </c>
      <c r="C45" s="46" t="s">
        <v>270</v>
      </c>
      <c r="D45" s="46" t="s">
        <v>19</v>
      </c>
      <c r="E45" s="46" t="s">
        <v>63</v>
      </c>
      <c r="F45" s="46" t="s">
        <v>38</v>
      </c>
      <c r="G45" s="46" t="s">
        <v>27</v>
      </c>
      <c r="H45" s="46" t="s">
        <v>112</v>
      </c>
      <c r="I45" s="46" t="s">
        <v>16</v>
      </c>
      <c r="J45" s="46" t="s">
        <v>65</v>
      </c>
      <c r="K45" s="64">
        <v>2554</v>
      </c>
      <c r="L45" s="391"/>
      <c r="M45" s="391"/>
      <c r="N45" s="391"/>
      <c r="O45" s="391"/>
      <c r="P45" s="391">
        <f t="shared" si="5"/>
        <v>0</v>
      </c>
      <c r="Q45" s="391"/>
      <c r="R45" s="391"/>
      <c r="S45" s="391"/>
      <c r="T45" s="391"/>
      <c r="U45" s="391"/>
      <c r="V45" s="391">
        <v>1752</v>
      </c>
      <c r="W45" s="391">
        <v>2257</v>
      </c>
      <c r="X45" s="210">
        <v>630</v>
      </c>
      <c r="Y45" s="394">
        <v>210</v>
      </c>
      <c r="Z45" s="394">
        <v>210</v>
      </c>
      <c r="AA45" s="394">
        <v>210</v>
      </c>
      <c r="AB45" s="395">
        <f t="shared" si="2"/>
        <v>630</v>
      </c>
      <c r="AD45" s="394"/>
      <c r="AE45" s="394"/>
      <c r="AF45" s="394"/>
      <c r="AG45" s="395">
        <f t="shared" si="3"/>
        <v>0</v>
      </c>
    </row>
    <row r="46" spans="1:33" ht="24" hidden="1">
      <c r="A46" s="324" t="s">
        <v>286</v>
      </c>
      <c r="B46" s="122" t="s">
        <v>154</v>
      </c>
      <c r="C46" s="115" t="s">
        <v>270</v>
      </c>
      <c r="D46" s="115" t="s">
        <v>19</v>
      </c>
      <c r="E46" s="115" t="s">
        <v>63</v>
      </c>
      <c r="F46" s="115" t="s">
        <v>58</v>
      </c>
      <c r="G46" s="115" t="s">
        <v>14</v>
      </c>
      <c r="H46" s="115" t="s">
        <v>15</v>
      </c>
      <c r="I46" s="115" t="s">
        <v>16</v>
      </c>
      <c r="J46" s="115" t="s">
        <v>65</v>
      </c>
      <c r="K46" s="64">
        <f>K47</f>
        <v>4300</v>
      </c>
      <c r="L46" s="64">
        <f aca="true" t="shared" si="11" ref="L46:W46">L47</f>
        <v>1050</v>
      </c>
      <c r="M46" s="64">
        <f t="shared" si="11"/>
        <v>1050</v>
      </c>
      <c r="N46" s="64">
        <f t="shared" si="11"/>
        <v>1050</v>
      </c>
      <c r="O46" s="64">
        <f t="shared" si="11"/>
        <v>1050</v>
      </c>
      <c r="P46" s="64">
        <f t="shared" si="11"/>
        <v>4200</v>
      </c>
      <c r="Q46" s="64">
        <f t="shared" si="11"/>
        <v>0</v>
      </c>
      <c r="R46" s="64">
        <f t="shared" si="11"/>
        <v>0</v>
      </c>
      <c r="S46" s="64">
        <f t="shared" si="11"/>
        <v>0</v>
      </c>
      <c r="T46" s="64">
        <f t="shared" si="11"/>
        <v>0</v>
      </c>
      <c r="U46" s="64">
        <f t="shared" si="11"/>
        <v>0</v>
      </c>
      <c r="V46" s="64">
        <f t="shared" si="11"/>
        <v>4499</v>
      </c>
      <c r="W46" s="64">
        <f t="shared" si="11"/>
        <v>6474</v>
      </c>
      <c r="AB46" s="395">
        <f t="shared" si="2"/>
        <v>0</v>
      </c>
      <c r="AG46" s="395">
        <f t="shared" si="3"/>
        <v>0</v>
      </c>
    </row>
    <row r="47" spans="1:33" ht="24">
      <c r="A47" s="77"/>
      <c r="B47" s="112" t="s">
        <v>330</v>
      </c>
      <c r="C47" s="46" t="s">
        <v>270</v>
      </c>
      <c r="D47" s="46" t="s">
        <v>19</v>
      </c>
      <c r="E47" s="46" t="s">
        <v>63</v>
      </c>
      <c r="F47" s="46" t="s">
        <v>58</v>
      </c>
      <c r="G47" s="46" t="s">
        <v>153</v>
      </c>
      <c r="H47" s="46" t="s">
        <v>38</v>
      </c>
      <c r="I47" s="46" t="s">
        <v>16</v>
      </c>
      <c r="J47" s="46" t="s">
        <v>65</v>
      </c>
      <c r="K47" s="251">
        <v>4300</v>
      </c>
      <c r="L47" s="391">
        <v>1050</v>
      </c>
      <c r="M47" s="391">
        <v>1050</v>
      </c>
      <c r="N47" s="391">
        <v>1050</v>
      </c>
      <c r="O47" s="391">
        <v>1050</v>
      </c>
      <c r="P47" s="391">
        <f t="shared" si="5"/>
        <v>4200</v>
      </c>
      <c r="Q47" s="391"/>
      <c r="R47" s="391"/>
      <c r="S47" s="391"/>
      <c r="T47" s="391"/>
      <c r="U47" s="391"/>
      <c r="V47" s="391">
        <v>4499</v>
      </c>
      <c r="W47" s="391">
        <v>6474</v>
      </c>
      <c r="X47" s="210">
        <v>1075</v>
      </c>
      <c r="Y47" s="394">
        <v>358</v>
      </c>
      <c r="Z47" s="394">
        <v>358</v>
      </c>
      <c r="AA47" s="394">
        <v>359</v>
      </c>
      <c r="AB47" s="395">
        <f t="shared" si="2"/>
        <v>1075</v>
      </c>
      <c r="AD47" s="394"/>
      <c r="AE47" s="394"/>
      <c r="AF47" s="394"/>
      <c r="AG47" s="395">
        <f t="shared" si="3"/>
        <v>0</v>
      </c>
    </row>
    <row r="48" spans="1:33" ht="12.75">
      <c r="A48" s="320">
        <v>5</v>
      </c>
      <c r="B48" s="328" t="s">
        <v>69</v>
      </c>
      <c r="C48" s="44" t="s">
        <v>14</v>
      </c>
      <c r="D48" s="44" t="s">
        <v>19</v>
      </c>
      <c r="E48" s="44" t="s">
        <v>70</v>
      </c>
      <c r="F48" s="44" t="s">
        <v>15</v>
      </c>
      <c r="G48" s="44" t="s">
        <v>14</v>
      </c>
      <c r="H48" s="44" t="s">
        <v>15</v>
      </c>
      <c r="I48" s="44" t="s">
        <v>16</v>
      </c>
      <c r="J48" s="44" t="s">
        <v>14</v>
      </c>
      <c r="K48" s="249">
        <f>K49</f>
        <v>700</v>
      </c>
      <c r="L48" s="249">
        <f aca="true" t="shared" si="12" ref="L48:AA48">L49</f>
        <v>118.8</v>
      </c>
      <c r="M48" s="249">
        <f t="shared" si="12"/>
        <v>118.7</v>
      </c>
      <c r="N48" s="249">
        <f t="shared" si="12"/>
        <v>118.8</v>
      </c>
      <c r="O48" s="249">
        <f t="shared" si="12"/>
        <v>118.7</v>
      </c>
      <c r="P48" s="249">
        <f t="shared" si="12"/>
        <v>475</v>
      </c>
      <c r="Q48" s="249">
        <f t="shared" si="12"/>
        <v>0</v>
      </c>
      <c r="R48" s="249">
        <f t="shared" si="12"/>
        <v>0</v>
      </c>
      <c r="S48" s="249">
        <f t="shared" si="12"/>
        <v>0</v>
      </c>
      <c r="T48" s="249">
        <f t="shared" si="12"/>
        <v>0</v>
      </c>
      <c r="U48" s="249">
        <f t="shared" si="12"/>
        <v>0</v>
      </c>
      <c r="V48" s="249">
        <f t="shared" si="12"/>
        <v>606</v>
      </c>
      <c r="W48" s="249">
        <f t="shared" si="12"/>
        <v>484</v>
      </c>
      <c r="X48" s="400">
        <f t="shared" si="12"/>
        <v>175</v>
      </c>
      <c r="Y48" s="249">
        <f t="shared" si="12"/>
        <v>50</v>
      </c>
      <c r="Z48" s="249">
        <f t="shared" si="12"/>
        <v>50</v>
      </c>
      <c r="AA48" s="249">
        <f t="shared" si="12"/>
        <v>75</v>
      </c>
      <c r="AB48" s="395">
        <f t="shared" si="2"/>
        <v>175</v>
      </c>
      <c r="AC48" s="249">
        <f>AC49</f>
        <v>175</v>
      </c>
      <c r="AD48" s="249">
        <f>AD49</f>
        <v>50</v>
      </c>
      <c r="AE48" s="249">
        <f>AE49</f>
        <v>50</v>
      </c>
      <c r="AF48" s="249">
        <f>AF49</f>
        <v>75</v>
      </c>
      <c r="AG48" s="395">
        <f t="shared" si="3"/>
        <v>175</v>
      </c>
    </row>
    <row r="49" spans="1:33" ht="12.75">
      <c r="A49" s="324" t="s">
        <v>287</v>
      </c>
      <c r="B49" s="122" t="s">
        <v>72</v>
      </c>
      <c r="C49" s="115" t="s">
        <v>156</v>
      </c>
      <c r="D49" s="115" t="s">
        <v>19</v>
      </c>
      <c r="E49" s="115" t="s">
        <v>70</v>
      </c>
      <c r="F49" s="115" t="s">
        <v>20</v>
      </c>
      <c r="G49" s="115" t="s">
        <v>14</v>
      </c>
      <c r="H49" s="115" t="s">
        <v>20</v>
      </c>
      <c r="I49" s="115" t="s">
        <v>16</v>
      </c>
      <c r="J49" s="115" t="s">
        <v>65</v>
      </c>
      <c r="K49" s="64">
        <v>700</v>
      </c>
      <c r="L49" s="391">
        <v>118.8</v>
      </c>
      <c r="M49" s="391">
        <v>118.7</v>
      </c>
      <c r="N49" s="391">
        <v>118.8</v>
      </c>
      <c r="O49" s="391">
        <v>118.7</v>
      </c>
      <c r="P49" s="391">
        <f t="shared" si="5"/>
        <v>475</v>
      </c>
      <c r="Q49" s="391"/>
      <c r="R49" s="391"/>
      <c r="S49" s="391"/>
      <c r="T49" s="391"/>
      <c r="U49" s="391"/>
      <c r="V49" s="391">
        <v>606</v>
      </c>
      <c r="W49" s="391">
        <v>484</v>
      </c>
      <c r="X49" s="210">
        <v>175</v>
      </c>
      <c r="Y49" s="396">
        <v>50</v>
      </c>
      <c r="Z49" s="396">
        <v>50</v>
      </c>
      <c r="AA49" s="396">
        <v>75</v>
      </c>
      <c r="AB49" s="395">
        <f t="shared" si="2"/>
        <v>175</v>
      </c>
      <c r="AC49">
        <v>175</v>
      </c>
      <c r="AD49" s="396">
        <v>50</v>
      </c>
      <c r="AE49" s="396">
        <v>50</v>
      </c>
      <c r="AF49" s="396">
        <v>75</v>
      </c>
      <c r="AG49" s="395">
        <f t="shared" si="3"/>
        <v>175</v>
      </c>
    </row>
    <row r="50" spans="1:33" ht="39.75" customHeight="1">
      <c r="A50" s="236" t="s">
        <v>62</v>
      </c>
      <c r="B50" s="112" t="s">
        <v>217</v>
      </c>
      <c r="C50" s="46" t="s">
        <v>270</v>
      </c>
      <c r="D50" s="46" t="s">
        <v>19</v>
      </c>
      <c r="E50" s="46" t="s">
        <v>218</v>
      </c>
      <c r="F50" s="46" t="s">
        <v>23</v>
      </c>
      <c r="G50" s="46" t="s">
        <v>195</v>
      </c>
      <c r="H50" s="46" t="s">
        <v>38</v>
      </c>
      <c r="I50" s="46" t="s">
        <v>16</v>
      </c>
      <c r="J50" s="46" t="s">
        <v>101</v>
      </c>
      <c r="K50" s="64">
        <v>50</v>
      </c>
      <c r="L50" s="64">
        <v>50</v>
      </c>
      <c r="M50" s="64">
        <v>50</v>
      </c>
      <c r="N50" s="64">
        <v>50</v>
      </c>
      <c r="O50" s="64">
        <v>50</v>
      </c>
      <c r="P50" s="64">
        <v>50</v>
      </c>
      <c r="Q50" s="64">
        <v>50</v>
      </c>
      <c r="R50" s="64">
        <v>50</v>
      </c>
      <c r="S50" s="64">
        <v>50</v>
      </c>
      <c r="T50" s="64">
        <v>50</v>
      </c>
      <c r="U50" s="64">
        <v>50</v>
      </c>
      <c r="V50" s="64">
        <v>50</v>
      </c>
      <c r="W50" s="64">
        <v>50</v>
      </c>
      <c r="X50" s="218">
        <v>0</v>
      </c>
      <c r="Y50" s="64">
        <v>0</v>
      </c>
      <c r="Z50" s="64">
        <v>0</v>
      </c>
      <c r="AA50" s="64">
        <v>0</v>
      </c>
      <c r="AB50" s="395">
        <f t="shared" si="2"/>
        <v>0</v>
      </c>
      <c r="AC50" s="64">
        <v>0</v>
      </c>
      <c r="AD50" s="64">
        <v>0</v>
      </c>
      <c r="AE50" s="64">
        <v>0</v>
      </c>
      <c r="AF50" s="64">
        <v>0</v>
      </c>
      <c r="AG50" s="395">
        <f t="shared" si="3"/>
        <v>0</v>
      </c>
    </row>
    <row r="51" spans="1:33" ht="39.75" customHeight="1">
      <c r="A51" s="236"/>
      <c r="B51" s="112" t="s">
        <v>352</v>
      </c>
      <c r="C51" s="46" t="s">
        <v>270</v>
      </c>
      <c r="D51" s="46" t="s">
        <v>19</v>
      </c>
      <c r="E51" s="46" t="s">
        <v>218</v>
      </c>
      <c r="F51" s="46" t="s">
        <v>42</v>
      </c>
      <c r="G51" s="46" t="s">
        <v>159</v>
      </c>
      <c r="H51" s="46" t="s">
        <v>38</v>
      </c>
      <c r="I51" s="46" t="s">
        <v>16</v>
      </c>
      <c r="J51" s="46" t="s">
        <v>101</v>
      </c>
      <c r="K51" s="64">
        <v>20352</v>
      </c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210">
        <v>5088</v>
      </c>
      <c r="Y51" s="397">
        <v>1696</v>
      </c>
      <c r="Z51" s="397">
        <v>1696</v>
      </c>
      <c r="AA51" s="398">
        <v>1696</v>
      </c>
      <c r="AB51" s="395">
        <f t="shared" si="2"/>
        <v>5088</v>
      </c>
      <c r="AD51" s="397"/>
      <c r="AE51" s="397"/>
      <c r="AF51" s="398"/>
      <c r="AG51" s="395">
        <f t="shared" si="3"/>
        <v>0</v>
      </c>
    </row>
    <row r="52" spans="1:33" ht="12.75">
      <c r="A52" s="236" t="s">
        <v>68</v>
      </c>
      <c r="B52" s="327" t="s">
        <v>113</v>
      </c>
      <c r="C52" s="44" t="s">
        <v>14</v>
      </c>
      <c r="D52" s="44" t="s">
        <v>19</v>
      </c>
      <c r="E52" s="44" t="s">
        <v>114</v>
      </c>
      <c r="F52" s="44" t="s">
        <v>15</v>
      </c>
      <c r="G52" s="44" t="s">
        <v>14</v>
      </c>
      <c r="H52" s="44" t="s">
        <v>15</v>
      </c>
      <c r="I52" s="44" t="s">
        <v>16</v>
      </c>
      <c r="J52" s="44" t="s">
        <v>14</v>
      </c>
      <c r="K52" s="249">
        <f>K53+K54</f>
        <v>4300</v>
      </c>
      <c r="L52" s="249">
        <f aca="true" t="shared" si="13" ref="L52:AA52">L53+L54</f>
        <v>87.5</v>
      </c>
      <c r="M52" s="249">
        <f t="shared" si="13"/>
        <v>87.5</v>
      </c>
      <c r="N52" s="249">
        <f t="shared" si="13"/>
        <v>87.5</v>
      </c>
      <c r="O52" s="249">
        <f t="shared" si="13"/>
        <v>87.5</v>
      </c>
      <c r="P52" s="249">
        <f t="shared" si="13"/>
        <v>350</v>
      </c>
      <c r="Q52" s="249">
        <f t="shared" si="13"/>
        <v>6200</v>
      </c>
      <c r="R52" s="249">
        <f t="shared" si="13"/>
        <v>0</v>
      </c>
      <c r="S52" s="249">
        <f t="shared" si="13"/>
        <v>0</v>
      </c>
      <c r="T52" s="249">
        <f t="shared" si="13"/>
        <v>0</v>
      </c>
      <c r="U52" s="249">
        <f t="shared" si="13"/>
        <v>0</v>
      </c>
      <c r="V52" s="249">
        <f t="shared" si="13"/>
        <v>2568</v>
      </c>
      <c r="W52" s="249">
        <f t="shared" si="13"/>
        <v>3702</v>
      </c>
      <c r="X52" s="400">
        <f t="shared" si="13"/>
        <v>1075</v>
      </c>
      <c r="Y52" s="249">
        <f t="shared" si="13"/>
        <v>350</v>
      </c>
      <c r="Z52" s="249">
        <f t="shared" si="13"/>
        <v>350</v>
      </c>
      <c r="AA52" s="249">
        <f t="shared" si="13"/>
        <v>375</v>
      </c>
      <c r="AB52" s="395">
        <f t="shared" si="2"/>
        <v>1075</v>
      </c>
      <c r="AC52" s="249">
        <f>AC53+AC54</f>
        <v>0</v>
      </c>
      <c r="AD52" s="249">
        <f>AD53+AD54</f>
        <v>0</v>
      </c>
      <c r="AE52" s="249">
        <f>AE53+AE54</f>
        <v>0</v>
      </c>
      <c r="AF52" s="249">
        <f>AF53+AF54</f>
        <v>0</v>
      </c>
      <c r="AG52" s="395">
        <f t="shared" si="3"/>
        <v>0</v>
      </c>
    </row>
    <row r="53" spans="1:33" ht="36">
      <c r="A53" s="236"/>
      <c r="B53" s="87" t="s">
        <v>327</v>
      </c>
      <c r="C53" s="46" t="s">
        <v>14</v>
      </c>
      <c r="D53" s="46" t="s">
        <v>19</v>
      </c>
      <c r="E53" s="46" t="s">
        <v>114</v>
      </c>
      <c r="F53" s="46" t="s">
        <v>23</v>
      </c>
      <c r="G53" s="46" t="s">
        <v>273</v>
      </c>
      <c r="H53" s="46" t="s">
        <v>38</v>
      </c>
      <c r="I53" s="46" t="s">
        <v>16</v>
      </c>
      <c r="J53" s="46" t="s">
        <v>118</v>
      </c>
      <c r="K53" s="64">
        <v>1900</v>
      </c>
      <c r="L53" s="391">
        <v>87.5</v>
      </c>
      <c r="M53" s="391">
        <v>87.5</v>
      </c>
      <c r="N53" s="391">
        <v>87.5</v>
      </c>
      <c r="O53" s="391">
        <v>87.5</v>
      </c>
      <c r="P53" s="391">
        <f t="shared" si="5"/>
        <v>350</v>
      </c>
      <c r="Q53" s="391">
        <v>6200</v>
      </c>
      <c r="R53" s="391"/>
      <c r="S53" s="391"/>
      <c r="T53" s="391"/>
      <c r="U53" s="391"/>
      <c r="V53" s="391">
        <v>1623</v>
      </c>
      <c r="W53" s="391">
        <v>3702</v>
      </c>
      <c r="X53" s="210">
        <v>475</v>
      </c>
      <c r="Y53" s="397">
        <v>150</v>
      </c>
      <c r="Z53" s="397">
        <v>150</v>
      </c>
      <c r="AA53" s="398">
        <v>175</v>
      </c>
      <c r="AB53" s="395">
        <f t="shared" si="2"/>
        <v>475</v>
      </c>
      <c r="AD53" s="397"/>
      <c r="AE53" s="397"/>
      <c r="AF53" s="398"/>
      <c r="AG53" s="395">
        <f t="shared" si="3"/>
        <v>0</v>
      </c>
    </row>
    <row r="54" spans="1:33" ht="36">
      <c r="A54" s="236"/>
      <c r="B54" s="87" t="s">
        <v>320</v>
      </c>
      <c r="C54" s="46" t="s">
        <v>14</v>
      </c>
      <c r="D54" s="46" t="s">
        <v>19</v>
      </c>
      <c r="E54" s="46" t="s">
        <v>114</v>
      </c>
      <c r="F54" s="46" t="s">
        <v>46</v>
      </c>
      <c r="G54" s="46" t="s">
        <v>66</v>
      </c>
      <c r="H54" s="46" t="s">
        <v>112</v>
      </c>
      <c r="I54" s="46" t="s">
        <v>16</v>
      </c>
      <c r="J54" s="46" t="s">
        <v>347</v>
      </c>
      <c r="K54" s="64">
        <f>400+1000+1000</f>
        <v>2400</v>
      </c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>
        <v>945</v>
      </c>
      <c r="W54" s="391">
        <v>0</v>
      </c>
      <c r="X54" s="210">
        <v>600</v>
      </c>
      <c r="Y54" s="397">
        <v>200</v>
      </c>
      <c r="Z54" s="397">
        <v>200</v>
      </c>
      <c r="AA54" s="398">
        <v>200</v>
      </c>
      <c r="AB54" s="395">
        <f t="shared" si="2"/>
        <v>600</v>
      </c>
      <c r="AD54" s="397"/>
      <c r="AE54" s="397"/>
      <c r="AF54" s="398"/>
      <c r="AG54" s="395">
        <f t="shared" si="3"/>
        <v>0</v>
      </c>
    </row>
    <row r="55" spans="1:33" ht="12.75">
      <c r="A55" s="236" t="s">
        <v>80</v>
      </c>
      <c r="B55" s="328" t="s">
        <v>81</v>
      </c>
      <c r="C55" s="44" t="s">
        <v>14</v>
      </c>
      <c r="D55" s="44" t="s">
        <v>19</v>
      </c>
      <c r="E55" s="44" t="s">
        <v>82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49">
        <v>3140</v>
      </c>
      <c r="L55" s="249">
        <v>3140</v>
      </c>
      <c r="M55" s="249">
        <v>3140</v>
      </c>
      <c r="N55" s="249">
        <v>3140</v>
      </c>
      <c r="O55" s="249">
        <v>3140</v>
      </c>
      <c r="P55" s="249">
        <v>3140</v>
      </c>
      <c r="Q55" s="249">
        <v>3140</v>
      </c>
      <c r="R55" s="249">
        <v>3140</v>
      </c>
      <c r="S55" s="249">
        <v>3140</v>
      </c>
      <c r="T55" s="249">
        <v>3140</v>
      </c>
      <c r="U55" s="249">
        <v>3140</v>
      </c>
      <c r="V55" s="249">
        <v>3140</v>
      </c>
      <c r="W55" s="249">
        <v>3140</v>
      </c>
      <c r="X55" s="400">
        <f>X56+X57+X58+X59+X60+X61+X62</f>
        <v>753</v>
      </c>
      <c r="Y55" s="400">
        <f>Y56+Y57+Y58+Y59+Y60+Y61+Y62</f>
        <v>197</v>
      </c>
      <c r="Z55" s="400">
        <f>Z56+Z57+Z58+Z59+Z60+Z61+Z62</f>
        <v>247</v>
      </c>
      <c r="AA55" s="400">
        <f>AA56+AA57+AA58+AA59+AA60+AA61+AA62</f>
        <v>309</v>
      </c>
      <c r="AB55" s="395">
        <f t="shared" si="2"/>
        <v>753</v>
      </c>
      <c r="AC55" s="249">
        <v>3140</v>
      </c>
      <c r="AD55" s="249">
        <v>3140</v>
      </c>
      <c r="AE55" s="249">
        <v>3140</v>
      </c>
      <c r="AF55" s="249">
        <v>3140</v>
      </c>
      <c r="AG55" s="395">
        <f t="shared" si="3"/>
        <v>9420</v>
      </c>
    </row>
    <row r="56" spans="1:33" ht="25.5">
      <c r="A56" s="325" t="s">
        <v>288</v>
      </c>
      <c r="B56" s="372" t="s">
        <v>274</v>
      </c>
      <c r="C56" s="371" t="s">
        <v>26</v>
      </c>
      <c r="D56" s="371" t="s">
        <v>19</v>
      </c>
      <c r="E56" s="371" t="s">
        <v>82</v>
      </c>
      <c r="F56" s="371" t="s">
        <v>42</v>
      </c>
      <c r="G56" s="371" t="s">
        <v>14</v>
      </c>
      <c r="H56" s="371" t="s">
        <v>20</v>
      </c>
      <c r="I56" s="371" t="s">
        <v>16</v>
      </c>
      <c r="J56" s="371" t="s">
        <v>272</v>
      </c>
      <c r="K56" s="249">
        <v>20</v>
      </c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>
        <v>47</v>
      </c>
      <c r="X56" s="210">
        <v>3</v>
      </c>
      <c r="Y56" s="397">
        <v>1</v>
      </c>
      <c r="Z56" s="397">
        <v>1</v>
      </c>
      <c r="AA56" s="398">
        <v>1</v>
      </c>
      <c r="AB56" s="395">
        <f t="shared" si="2"/>
        <v>3</v>
      </c>
      <c r="AD56" s="397"/>
      <c r="AE56" s="397"/>
      <c r="AF56" s="398"/>
      <c r="AG56" s="395">
        <f t="shared" si="3"/>
        <v>0</v>
      </c>
    </row>
    <row r="57" spans="1:33" ht="51">
      <c r="A57" s="325" t="s">
        <v>289</v>
      </c>
      <c r="B57" s="372" t="s">
        <v>275</v>
      </c>
      <c r="C57" s="371" t="s">
        <v>26</v>
      </c>
      <c r="D57" s="371" t="s">
        <v>19</v>
      </c>
      <c r="E57" s="371" t="s">
        <v>82</v>
      </c>
      <c r="F57" s="371" t="s">
        <v>46</v>
      </c>
      <c r="G57" s="371" t="s">
        <v>14</v>
      </c>
      <c r="H57" s="371" t="s">
        <v>20</v>
      </c>
      <c r="I57" s="371" t="s">
        <v>16</v>
      </c>
      <c r="J57" s="371" t="s">
        <v>272</v>
      </c>
      <c r="K57" s="249">
        <v>50</v>
      </c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>
        <v>65</v>
      </c>
      <c r="X57" s="210">
        <v>10</v>
      </c>
      <c r="Y57" s="397">
        <v>3</v>
      </c>
      <c r="Z57" s="397">
        <v>3</v>
      </c>
      <c r="AA57" s="398">
        <v>4</v>
      </c>
      <c r="AB57" s="395">
        <f t="shared" si="2"/>
        <v>10</v>
      </c>
      <c r="AD57" s="397"/>
      <c r="AE57" s="397"/>
      <c r="AF57" s="398"/>
      <c r="AG57" s="395">
        <f t="shared" si="3"/>
        <v>0</v>
      </c>
    </row>
    <row r="58" spans="1:33" ht="38.25">
      <c r="A58" s="325" t="s">
        <v>290</v>
      </c>
      <c r="B58" s="372" t="s">
        <v>336</v>
      </c>
      <c r="C58" s="371" t="s">
        <v>14</v>
      </c>
      <c r="D58" s="371" t="s">
        <v>19</v>
      </c>
      <c r="E58" s="371" t="s">
        <v>82</v>
      </c>
      <c r="F58" s="371" t="s">
        <v>52</v>
      </c>
      <c r="G58" s="371" t="s">
        <v>14</v>
      </c>
      <c r="H58" s="371" t="s">
        <v>20</v>
      </c>
      <c r="I58" s="371" t="s">
        <v>16</v>
      </c>
      <c r="J58" s="371" t="s">
        <v>272</v>
      </c>
      <c r="K58" s="249">
        <v>20</v>
      </c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>
        <v>2</v>
      </c>
      <c r="X58" s="210">
        <v>5</v>
      </c>
      <c r="Y58" s="397">
        <v>1</v>
      </c>
      <c r="Z58" s="397">
        <v>1</v>
      </c>
      <c r="AA58" s="398">
        <v>3</v>
      </c>
      <c r="AB58" s="395">
        <f t="shared" si="2"/>
        <v>5</v>
      </c>
      <c r="AD58" s="397"/>
      <c r="AE58" s="397"/>
      <c r="AF58" s="398"/>
      <c r="AG58" s="395">
        <f t="shared" si="3"/>
        <v>0</v>
      </c>
    </row>
    <row r="59" spans="1:33" ht="25.5">
      <c r="A59" s="325"/>
      <c r="B59" s="372" t="s">
        <v>337</v>
      </c>
      <c r="C59" s="371" t="s">
        <v>14</v>
      </c>
      <c r="D59" s="371" t="s">
        <v>19</v>
      </c>
      <c r="E59" s="371" t="s">
        <v>82</v>
      </c>
      <c r="F59" s="371" t="s">
        <v>338</v>
      </c>
      <c r="G59" s="371" t="s">
        <v>85</v>
      </c>
      <c r="H59" s="371" t="s">
        <v>20</v>
      </c>
      <c r="I59" s="371" t="s">
        <v>16</v>
      </c>
      <c r="J59" s="371" t="s">
        <v>272</v>
      </c>
      <c r="K59" s="249">
        <v>30</v>
      </c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>
        <v>115</v>
      </c>
      <c r="X59" s="210">
        <v>5</v>
      </c>
      <c r="Y59" s="397">
        <v>1</v>
      </c>
      <c r="Z59" s="397">
        <v>1</v>
      </c>
      <c r="AA59" s="398">
        <v>3</v>
      </c>
      <c r="AB59" s="395">
        <f t="shared" si="2"/>
        <v>5</v>
      </c>
      <c r="AD59" s="397"/>
      <c r="AE59" s="397"/>
      <c r="AF59" s="398"/>
      <c r="AG59" s="395">
        <f t="shared" si="3"/>
        <v>0</v>
      </c>
    </row>
    <row r="60" spans="1:33" ht="51">
      <c r="A60" s="325" t="s">
        <v>291</v>
      </c>
      <c r="B60" s="372" t="s">
        <v>276</v>
      </c>
      <c r="C60" s="371" t="s">
        <v>14</v>
      </c>
      <c r="D60" s="371" t="s">
        <v>19</v>
      </c>
      <c r="E60" s="371" t="s">
        <v>82</v>
      </c>
      <c r="F60" s="371" t="s">
        <v>277</v>
      </c>
      <c r="G60" s="371" t="s">
        <v>14</v>
      </c>
      <c r="H60" s="371" t="s">
        <v>20</v>
      </c>
      <c r="I60" s="371" t="s">
        <v>16</v>
      </c>
      <c r="J60" s="371" t="s">
        <v>272</v>
      </c>
      <c r="K60" s="249">
        <v>20</v>
      </c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210">
        <v>5</v>
      </c>
      <c r="Y60" s="397">
        <v>1</v>
      </c>
      <c r="Z60" s="397">
        <v>1</v>
      </c>
      <c r="AA60" s="398">
        <v>3</v>
      </c>
      <c r="AB60" s="395">
        <f t="shared" si="2"/>
        <v>5</v>
      </c>
      <c r="AD60" s="397"/>
      <c r="AE60" s="397"/>
      <c r="AF60" s="398"/>
      <c r="AG60" s="395">
        <f t="shared" si="3"/>
        <v>0</v>
      </c>
    </row>
    <row r="61" spans="1:33" ht="25.5">
      <c r="A61" s="325" t="s">
        <v>292</v>
      </c>
      <c r="B61" s="372" t="s">
        <v>278</v>
      </c>
      <c r="C61" s="371" t="s">
        <v>335</v>
      </c>
      <c r="D61" s="371" t="s">
        <v>19</v>
      </c>
      <c r="E61" s="371" t="s">
        <v>82</v>
      </c>
      <c r="F61" s="371" t="s">
        <v>279</v>
      </c>
      <c r="G61" s="371" t="s">
        <v>14</v>
      </c>
      <c r="H61" s="371" t="s">
        <v>20</v>
      </c>
      <c r="I61" s="371" t="s">
        <v>16</v>
      </c>
      <c r="J61" s="371" t="s">
        <v>272</v>
      </c>
      <c r="K61" s="249">
        <v>2500</v>
      </c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210">
        <v>600</v>
      </c>
      <c r="Y61" s="397">
        <v>150</v>
      </c>
      <c r="Z61" s="397">
        <v>200</v>
      </c>
      <c r="AA61" s="398">
        <v>250</v>
      </c>
      <c r="AB61" s="395">
        <f t="shared" si="2"/>
        <v>600</v>
      </c>
      <c r="AD61" s="397"/>
      <c r="AE61" s="397"/>
      <c r="AF61" s="398"/>
      <c r="AG61" s="395">
        <f t="shared" si="3"/>
        <v>0</v>
      </c>
    </row>
    <row r="62" spans="1:33" ht="42.75" customHeight="1">
      <c r="A62" s="325" t="s">
        <v>293</v>
      </c>
      <c r="B62" s="372" t="s">
        <v>328</v>
      </c>
      <c r="C62" s="371" t="s">
        <v>14</v>
      </c>
      <c r="D62" s="371" t="s">
        <v>19</v>
      </c>
      <c r="E62" s="371" t="s">
        <v>82</v>
      </c>
      <c r="F62" s="371" t="s">
        <v>158</v>
      </c>
      <c r="G62" s="371" t="s">
        <v>14</v>
      </c>
      <c r="H62" s="371" t="s">
        <v>15</v>
      </c>
      <c r="I62" s="371" t="s">
        <v>16</v>
      </c>
      <c r="J62" s="371" t="s">
        <v>272</v>
      </c>
      <c r="K62" s="249">
        <f>55+445</f>
        <v>500</v>
      </c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210">
        <v>125</v>
      </c>
      <c r="Y62" s="397">
        <v>40</v>
      </c>
      <c r="Z62" s="397">
        <v>40</v>
      </c>
      <c r="AA62" s="398">
        <v>45</v>
      </c>
      <c r="AB62" s="395">
        <f t="shared" si="2"/>
        <v>125</v>
      </c>
      <c r="AD62" s="397"/>
      <c r="AE62" s="397"/>
      <c r="AF62" s="398"/>
      <c r="AG62" s="395">
        <f t="shared" si="3"/>
        <v>0</v>
      </c>
    </row>
    <row r="63" spans="1:33" ht="25.5" hidden="1">
      <c r="A63" s="236" t="s">
        <v>111</v>
      </c>
      <c r="B63" s="328" t="s">
        <v>260</v>
      </c>
      <c r="C63" s="44" t="s">
        <v>66</v>
      </c>
      <c r="D63" s="44" t="s">
        <v>19</v>
      </c>
      <c r="E63" s="44" t="s">
        <v>84</v>
      </c>
      <c r="F63" s="44" t="s">
        <v>38</v>
      </c>
      <c r="G63" s="44" t="s">
        <v>159</v>
      </c>
      <c r="H63" s="44" t="s">
        <v>38</v>
      </c>
      <c r="I63" s="44" t="s">
        <v>16</v>
      </c>
      <c r="J63" s="44" t="s">
        <v>86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0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9">
        <v>178.5</v>
      </c>
      <c r="W63" s="249">
        <v>207</v>
      </c>
      <c r="AB63" s="395">
        <f t="shared" si="2"/>
        <v>0</v>
      </c>
      <c r="AG63" s="395">
        <f t="shared" si="3"/>
        <v>0</v>
      </c>
    </row>
    <row r="64" spans="1:33" ht="12.75">
      <c r="A64" s="236" t="s">
        <v>87</v>
      </c>
      <c r="B64" s="369" t="s">
        <v>88</v>
      </c>
      <c r="C64" s="44" t="s">
        <v>14</v>
      </c>
      <c r="D64" s="44" t="s">
        <v>89</v>
      </c>
      <c r="E64" s="44" t="s">
        <v>15</v>
      </c>
      <c r="F64" s="44" t="s">
        <v>15</v>
      </c>
      <c r="G64" s="44" t="s">
        <v>14</v>
      </c>
      <c r="H64" s="44" t="s">
        <v>15</v>
      </c>
      <c r="I64" s="44" t="s">
        <v>16</v>
      </c>
      <c r="J64" s="44" t="s">
        <v>14</v>
      </c>
      <c r="K64" s="233">
        <f>K65+K110</f>
        <v>280665</v>
      </c>
      <c r="L64" s="233" t="e">
        <f aca="true" t="shared" si="14" ref="L64:W64">L66+L69+L92+L108</f>
        <v>#REF!</v>
      </c>
      <c r="M64" s="233" t="e">
        <f t="shared" si="14"/>
        <v>#REF!</v>
      </c>
      <c r="N64" s="233" t="e">
        <f t="shared" si="14"/>
        <v>#REF!</v>
      </c>
      <c r="O64" s="233" t="e">
        <f t="shared" si="14"/>
        <v>#REF!</v>
      </c>
      <c r="P64" s="233" t="e">
        <f t="shared" si="14"/>
        <v>#REF!</v>
      </c>
      <c r="Q64" s="233" t="e">
        <f t="shared" si="14"/>
        <v>#REF!</v>
      </c>
      <c r="R64" s="233" t="e">
        <f t="shared" si="14"/>
        <v>#REF!</v>
      </c>
      <c r="S64" s="233" t="e">
        <f t="shared" si="14"/>
        <v>#REF!</v>
      </c>
      <c r="T64" s="233" t="e">
        <f t="shared" si="14"/>
        <v>#REF!</v>
      </c>
      <c r="U64" s="233" t="e">
        <f t="shared" si="14"/>
        <v>#REF!</v>
      </c>
      <c r="V64" s="233" t="e">
        <f t="shared" si="14"/>
        <v>#REF!</v>
      </c>
      <c r="W64" s="233" t="e">
        <f t="shared" si="14"/>
        <v>#REF!</v>
      </c>
      <c r="AB64" s="395">
        <f t="shared" si="2"/>
        <v>0</v>
      </c>
      <c r="AG64" s="395">
        <f t="shared" si="3"/>
        <v>0</v>
      </c>
    </row>
    <row r="65" spans="1:33" ht="12.75">
      <c r="A65" s="321"/>
      <c r="B65" s="105" t="s">
        <v>90</v>
      </c>
      <c r="C65" s="44" t="s">
        <v>14</v>
      </c>
      <c r="D65" s="44" t="s">
        <v>89</v>
      </c>
      <c r="E65" s="44" t="s">
        <v>23</v>
      </c>
      <c r="F65" s="44" t="s">
        <v>15</v>
      </c>
      <c r="G65" s="44" t="s">
        <v>14</v>
      </c>
      <c r="H65" s="44" t="s">
        <v>15</v>
      </c>
      <c r="I65" s="44" t="s">
        <v>16</v>
      </c>
      <c r="J65" s="44" t="s">
        <v>14</v>
      </c>
      <c r="K65" s="233">
        <f>K66+K69+K89</f>
        <v>276606</v>
      </c>
      <c r="L65" s="233" t="e">
        <f aca="true" t="shared" si="15" ref="L65:W65">L66+L69</f>
        <v>#REF!</v>
      </c>
      <c r="M65" s="233" t="e">
        <f t="shared" si="15"/>
        <v>#REF!</v>
      </c>
      <c r="N65" s="233" t="e">
        <f t="shared" si="15"/>
        <v>#REF!</v>
      </c>
      <c r="O65" s="233" t="e">
        <f t="shared" si="15"/>
        <v>#REF!</v>
      </c>
      <c r="P65" s="233" t="e">
        <f t="shared" si="15"/>
        <v>#REF!</v>
      </c>
      <c r="Q65" s="233" t="e">
        <f t="shared" si="15"/>
        <v>#REF!</v>
      </c>
      <c r="R65" s="233" t="e">
        <f t="shared" si="15"/>
        <v>#REF!</v>
      </c>
      <c r="S65" s="233" t="e">
        <f t="shared" si="15"/>
        <v>#REF!</v>
      </c>
      <c r="T65" s="233" t="e">
        <f t="shared" si="15"/>
        <v>#REF!</v>
      </c>
      <c r="U65" s="233" t="e">
        <f t="shared" si="15"/>
        <v>#REF!</v>
      </c>
      <c r="V65" s="233" t="e">
        <f t="shared" si="15"/>
        <v>#REF!</v>
      </c>
      <c r="W65" s="233" t="e">
        <f t="shared" si="15"/>
        <v>#REF!</v>
      </c>
      <c r="AB65" s="395">
        <f t="shared" si="2"/>
        <v>0</v>
      </c>
      <c r="AG65" s="395">
        <f t="shared" si="3"/>
        <v>0</v>
      </c>
    </row>
    <row r="66" spans="1:33" ht="12.75">
      <c r="A66" s="329" t="s">
        <v>17</v>
      </c>
      <c r="B66" s="105" t="s">
        <v>161</v>
      </c>
      <c r="C66" s="44" t="s">
        <v>14</v>
      </c>
      <c r="D66" s="44" t="s">
        <v>89</v>
      </c>
      <c r="E66" s="44" t="s">
        <v>23</v>
      </c>
      <c r="F66" s="44" t="s">
        <v>20</v>
      </c>
      <c r="G66" s="44" t="s">
        <v>264</v>
      </c>
      <c r="H66" s="44" t="s">
        <v>15</v>
      </c>
      <c r="I66" s="44" t="s">
        <v>16</v>
      </c>
      <c r="J66" s="44" t="s">
        <v>91</v>
      </c>
      <c r="K66" s="249">
        <f>K68</f>
        <v>72971</v>
      </c>
      <c r="L66" s="249" t="e">
        <f>L67+L68+#REF!</f>
        <v>#REF!</v>
      </c>
      <c r="M66" s="249" t="e">
        <f>M67+M68+#REF!</f>
        <v>#REF!</v>
      </c>
      <c r="N66" s="249" t="e">
        <f>N67+N68+#REF!</f>
        <v>#REF!</v>
      </c>
      <c r="O66" s="249" t="e">
        <f>O67+O68+#REF!</f>
        <v>#REF!</v>
      </c>
      <c r="P66" s="249" t="e">
        <f>P67+P68+#REF!</f>
        <v>#REF!</v>
      </c>
      <c r="Q66" s="249" t="e">
        <f>Q67+Q68+#REF!</f>
        <v>#REF!</v>
      </c>
      <c r="R66" s="249" t="e">
        <f>R67+R68+#REF!</f>
        <v>#REF!</v>
      </c>
      <c r="S66" s="249" t="e">
        <f>S67+S68+#REF!</f>
        <v>#REF!</v>
      </c>
      <c r="T66" s="249" t="e">
        <f>T67+T68+#REF!</f>
        <v>#REF!</v>
      </c>
      <c r="U66" s="249" t="e">
        <f>U67+U68+#REF!</f>
        <v>#REF!</v>
      </c>
      <c r="V66" s="249" t="e">
        <f>V67+V68+#REF!</f>
        <v>#REF!</v>
      </c>
      <c r="W66" s="249" t="e">
        <f>W67+W68+#REF!</f>
        <v>#REF!</v>
      </c>
      <c r="AB66" s="395">
        <f t="shared" si="2"/>
        <v>0</v>
      </c>
      <c r="AG66" s="395">
        <f t="shared" si="3"/>
        <v>0</v>
      </c>
    </row>
    <row r="67" spans="1:33" ht="24" hidden="1">
      <c r="A67" s="325" t="s">
        <v>102</v>
      </c>
      <c r="B67" s="135" t="s">
        <v>160</v>
      </c>
      <c r="C67" s="371" t="s">
        <v>14</v>
      </c>
      <c r="D67" s="371" t="s">
        <v>89</v>
      </c>
      <c r="E67" s="371" t="s">
        <v>23</v>
      </c>
      <c r="F67" s="371" t="s">
        <v>20</v>
      </c>
      <c r="G67" s="371" t="s">
        <v>27</v>
      </c>
      <c r="H67" s="371" t="s">
        <v>112</v>
      </c>
      <c r="I67" s="371" t="s">
        <v>16</v>
      </c>
      <c r="J67" s="371" t="s">
        <v>91</v>
      </c>
      <c r="K67" s="249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AB67" s="395">
        <f t="shared" si="2"/>
        <v>0</v>
      </c>
      <c r="AG67" s="395">
        <f t="shared" si="3"/>
        <v>0</v>
      </c>
    </row>
    <row r="68" spans="1:33" ht="22.5" customHeight="1">
      <c r="A68" s="325" t="s">
        <v>21</v>
      </c>
      <c r="B68" s="135" t="s">
        <v>321</v>
      </c>
      <c r="C68" s="371" t="s">
        <v>265</v>
      </c>
      <c r="D68" s="371" t="s">
        <v>89</v>
      </c>
      <c r="E68" s="371" t="s">
        <v>23</v>
      </c>
      <c r="F68" s="371" t="s">
        <v>20</v>
      </c>
      <c r="G68" s="371" t="s">
        <v>264</v>
      </c>
      <c r="H68" s="371" t="s">
        <v>38</v>
      </c>
      <c r="I68" s="371" t="s">
        <v>16</v>
      </c>
      <c r="J68" s="371" t="s">
        <v>91</v>
      </c>
      <c r="K68" s="361">
        <v>72971</v>
      </c>
      <c r="L68" s="391">
        <f>14236+2200</f>
        <v>16436</v>
      </c>
      <c r="M68" s="391">
        <f>14237+392</f>
        <v>14629</v>
      </c>
      <c r="N68" s="391">
        <f>14237+261</f>
        <v>14498</v>
      </c>
      <c r="O68" s="391">
        <f>14237+426</f>
        <v>14663</v>
      </c>
      <c r="P68" s="391">
        <f>L68+M68+N68+O68</f>
        <v>60226</v>
      </c>
      <c r="Q68" s="391"/>
      <c r="R68" s="391"/>
      <c r="S68" s="391"/>
      <c r="T68" s="391"/>
      <c r="U68" s="391"/>
      <c r="V68" s="391">
        <v>78861</v>
      </c>
      <c r="W68" s="391">
        <v>81227</v>
      </c>
      <c r="X68" s="210">
        <v>18242</v>
      </c>
      <c r="Y68" s="394">
        <v>6080</v>
      </c>
      <c r="Z68" s="394">
        <v>6081</v>
      </c>
      <c r="AA68" s="394">
        <v>6081</v>
      </c>
      <c r="AB68" s="395">
        <f t="shared" si="2"/>
        <v>18242</v>
      </c>
      <c r="AC68">
        <v>18242</v>
      </c>
      <c r="AD68" s="394">
        <v>6080</v>
      </c>
      <c r="AE68" s="394">
        <v>6081</v>
      </c>
      <c r="AF68" s="394">
        <v>6081</v>
      </c>
      <c r="AG68" s="395">
        <f t="shared" si="3"/>
        <v>18242</v>
      </c>
    </row>
    <row r="69" spans="1:33" ht="12.75">
      <c r="A69" s="236" t="s">
        <v>36</v>
      </c>
      <c r="B69" s="105" t="s">
        <v>252</v>
      </c>
      <c r="C69" s="44" t="s">
        <v>14</v>
      </c>
      <c r="D69" s="44" t="s">
        <v>89</v>
      </c>
      <c r="E69" s="44" t="s">
        <v>23</v>
      </c>
      <c r="F69" s="44" t="s">
        <v>42</v>
      </c>
      <c r="G69" s="44" t="s">
        <v>14</v>
      </c>
      <c r="H69" s="44" t="s">
        <v>15</v>
      </c>
      <c r="I69" s="44" t="s">
        <v>16</v>
      </c>
      <c r="J69" s="44" t="s">
        <v>91</v>
      </c>
      <c r="K69" s="359">
        <f>K70+K71+K72+K73+K74+K75+K76+K77+K78+K79+K80+K82+K83+K85+K87+K88+K84</f>
        <v>201635</v>
      </c>
      <c r="L69" s="249" t="e">
        <f>L72+L73+#REF!+L74+L75+L76+L77+L78+L79+L80+L81+L85+L86+#REF!+L88+#REF!+L89</f>
        <v>#REF!</v>
      </c>
      <c r="M69" s="249" t="e">
        <f>M72+M73+#REF!+M74+M75+M76+M77+M78+M79+M80+M81+M85+M86+#REF!+M88+#REF!+M89</f>
        <v>#REF!</v>
      </c>
      <c r="N69" s="249" t="e">
        <f>N72+N73+#REF!+N74+N75+N76+N77+N78+N79+N80+N81+N85+N86+#REF!+N88+#REF!+N89</f>
        <v>#REF!</v>
      </c>
      <c r="O69" s="249" t="e">
        <f>O72+O73+#REF!+O74+O75+O76+O77+O78+O79+O80+O81+O85+O86+#REF!+O88+#REF!+O89</f>
        <v>#REF!</v>
      </c>
      <c r="P69" s="391" t="e">
        <f aca="true" t="shared" si="16" ref="P69:P115">L69+M69+N69+O69</f>
        <v>#REF!</v>
      </c>
      <c r="Q69" s="391"/>
      <c r="R69" s="391"/>
      <c r="S69" s="391"/>
      <c r="T69" s="391"/>
      <c r="U69" s="391"/>
      <c r="V69" s="391"/>
      <c r="W69" s="391"/>
      <c r="AB69" s="395">
        <f t="shared" si="2"/>
        <v>0</v>
      </c>
      <c r="AG69" s="395">
        <f t="shared" si="3"/>
        <v>0</v>
      </c>
    </row>
    <row r="70" spans="1:33" ht="41.25" customHeight="1">
      <c r="A70" s="41"/>
      <c r="B70" s="93" t="s">
        <v>350</v>
      </c>
      <c r="C70" s="46" t="s">
        <v>270</v>
      </c>
      <c r="D70" s="46" t="s">
        <v>89</v>
      </c>
      <c r="E70" s="46" t="s">
        <v>23</v>
      </c>
      <c r="F70" s="46" t="s">
        <v>42</v>
      </c>
      <c r="G70" s="46" t="s">
        <v>348</v>
      </c>
      <c r="H70" s="46" t="s">
        <v>38</v>
      </c>
      <c r="I70" s="46" t="s">
        <v>16</v>
      </c>
      <c r="J70" s="46" t="s">
        <v>91</v>
      </c>
      <c r="K70" s="361">
        <v>786</v>
      </c>
      <c r="L70" s="391"/>
      <c r="M70" s="391"/>
      <c r="N70" s="391"/>
      <c r="O70" s="391"/>
      <c r="P70" s="393"/>
      <c r="Q70" s="391"/>
      <c r="R70" s="391"/>
      <c r="S70" s="391"/>
      <c r="T70" s="391"/>
      <c r="U70" s="391"/>
      <c r="V70" s="391"/>
      <c r="W70" s="391"/>
      <c r="AB70" s="395">
        <f t="shared" si="2"/>
        <v>0</v>
      </c>
      <c r="AG70" s="395">
        <f t="shared" si="3"/>
        <v>0</v>
      </c>
    </row>
    <row r="71" spans="1:33" ht="24">
      <c r="A71" s="41" t="s">
        <v>301</v>
      </c>
      <c r="B71" s="93" t="s">
        <v>254</v>
      </c>
      <c r="C71" s="46" t="s">
        <v>270</v>
      </c>
      <c r="D71" s="46" t="s">
        <v>89</v>
      </c>
      <c r="E71" s="46" t="s">
        <v>23</v>
      </c>
      <c r="F71" s="46" t="s">
        <v>42</v>
      </c>
      <c r="G71" s="46" t="s">
        <v>31</v>
      </c>
      <c r="H71" s="46" t="s">
        <v>38</v>
      </c>
      <c r="I71" s="46" t="s">
        <v>16</v>
      </c>
      <c r="J71" s="46" t="s">
        <v>91</v>
      </c>
      <c r="K71" s="361">
        <v>3123</v>
      </c>
      <c r="L71" s="391">
        <f>842+46</f>
        <v>888</v>
      </c>
      <c r="M71" s="391">
        <f>1464+112</f>
        <v>1576</v>
      </c>
      <c r="N71" s="391">
        <f>513+0</f>
        <v>513</v>
      </c>
      <c r="O71" s="391">
        <f>842+124</f>
        <v>966</v>
      </c>
      <c r="P71" s="393">
        <f>L71+M71+N71+O71</f>
        <v>3943</v>
      </c>
      <c r="Q71" s="391"/>
      <c r="R71" s="391"/>
      <c r="S71" s="391"/>
      <c r="T71" s="391"/>
      <c r="U71" s="391"/>
      <c r="V71" s="391"/>
      <c r="W71" s="391"/>
      <c r="AB71" s="395">
        <f t="shared" si="2"/>
        <v>0</v>
      </c>
      <c r="AG71" s="395">
        <f t="shared" si="3"/>
        <v>0</v>
      </c>
    </row>
    <row r="72" spans="1:33" ht="120" customHeight="1">
      <c r="A72" s="41" t="s">
        <v>39</v>
      </c>
      <c r="B72" s="92" t="s">
        <v>136</v>
      </c>
      <c r="C72" s="46" t="s">
        <v>270</v>
      </c>
      <c r="D72" s="46" t="s">
        <v>89</v>
      </c>
      <c r="E72" s="46" t="s">
        <v>23</v>
      </c>
      <c r="F72" s="46" t="s">
        <v>42</v>
      </c>
      <c r="G72" s="46" t="s">
        <v>195</v>
      </c>
      <c r="H72" s="46" t="s">
        <v>38</v>
      </c>
      <c r="I72" s="46" t="s">
        <v>16</v>
      </c>
      <c r="J72" s="46" t="s">
        <v>91</v>
      </c>
      <c r="K72" s="360">
        <v>147212</v>
      </c>
      <c r="L72" s="391">
        <f>23462+1235</f>
        <v>24697</v>
      </c>
      <c r="M72" s="391">
        <f>40804+2148</f>
        <v>42952</v>
      </c>
      <c r="N72" s="391">
        <f>14281+752</f>
        <v>15033</v>
      </c>
      <c r="O72" s="391">
        <f>23462+1234</f>
        <v>24696</v>
      </c>
      <c r="P72" s="391">
        <f t="shared" si="16"/>
        <v>107378</v>
      </c>
      <c r="Q72" s="391"/>
      <c r="R72" s="391"/>
      <c r="S72" s="391"/>
      <c r="T72" s="391"/>
      <c r="U72" s="391"/>
      <c r="V72" s="391"/>
      <c r="W72" s="391"/>
      <c r="AB72" s="395">
        <f t="shared" si="2"/>
        <v>0</v>
      </c>
      <c r="AG72" s="395">
        <f t="shared" si="3"/>
        <v>0</v>
      </c>
    </row>
    <row r="73" spans="1:33" ht="36">
      <c r="A73" s="41" t="s">
        <v>41</v>
      </c>
      <c r="B73" s="92" t="s">
        <v>137</v>
      </c>
      <c r="C73" s="46" t="s">
        <v>270</v>
      </c>
      <c r="D73" s="46" t="s">
        <v>89</v>
      </c>
      <c r="E73" s="46" t="s">
        <v>23</v>
      </c>
      <c r="F73" s="46" t="s">
        <v>42</v>
      </c>
      <c r="G73" s="46" t="s">
        <v>195</v>
      </c>
      <c r="H73" s="46" t="s">
        <v>38</v>
      </c>
      <c r="I73" s="46" t="s">
        <v>16</v>
      </c>
      <c r="J73" s="46" t="s">
        <v>91</v>
      </c>
      <c r="K73" s="360">
        <v>314</v>
      </c>
      <c r="L73" s="391">
        <f>50+3</f>
        <v>53</v>
      </c>
      <c r="M73" s="391">
        <f>50+3</f>
        <v>53</v>
      </c>
      <c r="N73" s="391">
        <f>50+2</f>
        <v>52</v>
      </c>
      <c r="O73" s="391">
        <f>51+3</f>
        <v>54</v>
      </c>
      <c r="P73" s="391">
        <f t="shared" si="16"/>
        <v>212</v>
      </c>
      <c r="Q73" s="391"/>
      <c r="R73" s="391"/>
      <c r="S73" s="391"/>
      <c r="T73" s="391"/>
      <c r="U73" s="391"/>
      <c r="V73" s="391"/>
      <c r="W73" s="391"/>
      <c r="AB73" s="395">
        <f t="shared" si="2"/>
        <v>0</v>
      </c>
      <c r="AG73" s="395">
        <f t="shared" si="3"/>
        <v>0</v>
      </c>
    </row>
    <row r="74" spans="1:33" ht="27.75" customHeight="1">
      <c r="A74" s="41" t="s">
        <v>95</v>
      </c>
      <c r="B74" s="93" t="s">
        <v>139</v>
      </c>
      <c r="C74" s="46" t="s">
        <v>270</v>
      </c>
      <c r="D74" s="46" t="s">
        <v>89</v>
      </c>
      <c r="E74" s="46" t="s">
        <v>23</v>
      </c>
      <c r="F74" s="46" t="s">
        <v>42</v>
      </c>
      <c r="G74" s="46" t="s">
        <v>195</v>
      </c>
      <c r="H74" s="46" t="s">
        <v>38</v>
      </c>
      <c r="I74" s="46" t="s">
        <v>16</v>
      </c>
      <c r="J74" s="46" t="s">
        <v>91</v>
      </c>
      <c r="K74" s="360">
        <v>910</v>
      </c>
      <c r="L74" s="391">
        <v>12</v>
      </c>
      <c r="M74" s="391">
        <v>12</v>
      </c>
      <c r="N74" s="391">
        <f>11+1</f>
        <v>12</v>
      </c>
      <c r="O74" s="391">
        <f>12+1</f>
        <v>13</v>
      </c>
      <c r="P74" s="393">
        <f t="shared" si="16"/>
        <v>49</v>
      </c>
      <c r="Q74" s="391"/>
      <c r="R74" s="391"/>
      <c r="S74" s="391"/>
      <c r="T74" s="391"/>
      <c r="U74" s="391"/>
      <c r="V74" s="391"/>
      <c r="W74" s="391"/>
      <c r="AB74" s="395">
        <f t="shared" si="2"/>
        <v>0</v>
      </c>
      <c r="AG74" s="395">
        <f t="shared" si="3"/>
        <v>0</v>
      </c>
    </row>
    <row r="75" spans="1:33" ht="48">
      <c r="A75" s="41" t="s">
        <v>109</v>
      </c>
      <c r="B75" s="93" t="s">
        <v>140</v>
      </c>
      <c r="C75" s="46" t="s">
        <v>270</v>
      </c>
      <c r="D75" s="46" t="s">
        <v>89</v>
      </c>
      <c r="E75" s="46" t="s">
        <v>23</v>
      </c>
      <c r="F75" s="46" t="s">
        <v>42</v>
      </c>
      <c r="G75" s="46" t="s">
        <v>195</v>
      </c>
      <c r="H75" s="46" t="s">
        <v>38</v>
      </c>
      <c r="I75" s="46" t="s">
        <v>16</v>
      </c>
      <c r="J75" s="46" t="s">
        <v>91</v>
      </c>
      <c r="K75" s="360">
        <v>3682</v>
      </c>
      <c r="L75" s="391">
        <f>473+25</f>
        <v>498</v>
      </c>
      <c r="M75" s="391">
        <f>473+25</f>
        <v>498</v>
      </c>
      <c r="N75" s="391">
        <f>474+25</f>
        <v>499</v>
      </c>
      <c r="O75" s="391">
        <f>474+25</f>
        <v>499</v>
      </c>
      <c r="P75" s="393">
        <f t="shared" si="16"/>
        <v>1994</v>
      </c>
      <c r="Q75" s="391"/>
      <c r="R75" s="391"/>
      <c r="S75" s="391"/>
      <c r="T75" s="391"/>
      <c r="U75" s="391"/>
      <c r="V75" s="391"/>
      <c r="W75" s="391"/>
      <c r="AB75" s="395">
        <f t="shared" si="2"/>
        <v>0</v>
      </c>
      <c r="AG75" s="395">
        <f t="shared" si="3"/>
        <v>0</v>
      </c>
    </row>
    <row r="76" spans="1:33" ht="60">
      <c r="A76" s="41" t="s">
        <v>110</v>
      </c>
      <c r="B76" s="93" t="s">
        <v>141</v>
      </c>
      <c r="C76" s="46" t="s">
        <v>270</v>
      </c>
      <c r="D76" s="46" t="s">
        <v>89</v>
      </c>
      <c r="E76" s="46" t="s">
        <v>23</v>
      </c>
      <c r="F76" s="46" t="s">
        <v>42</v>
      </c>
      <c r="G76" s="46" t="s">
        <v>195</v>
      </c>
      <c r="H76" s="46" t="s">
        <v>38</v>
      </c>
      <c r="I76" s="46" t="s">
        <v>16</v>
      </c>
      <c r="J76" s="46" t="s">
        <v>91</v>
      </c>
      <c r="K76" s="360">
        <v>15477</v>
      </c>
      <c r="L76" s="391">
        <f>1622+85</f>
        <v>1707</v>
      </c>
      <c r="M76" s="391">
        <f>1725+91</f>
        <v>1816</v>
      </c>
      <c r="N76" s="391">
        <f>1829+96</f>
        <v>1925</v>
      </c>
      <c r="O76" s="391">
        <f>1310+69</f>
        <v>1379</v>
      </c>
      <c r="P76" s="393">
        <f t="shared" si="16"/>
        <v>6827</v>
      </c>
      <c r="Q76" s="391"/>
      <c r="R76" s="391"/>
      <c r="S76" s="391"/>
      <c r="T76" s="391"/>
      <c r="U76" s="391"/>
      <c r="V76" s="391"/>
      <c r="W76" s="391"/>
      <c r="AB76" s="395">
        <f t="shared" si="2"/>
        <v>0</v>
      </c>
      <c r="AG76" s="395">
        <f t="shared" si="3"/>
        <v>0</v>
      </c>
    </row>
    <row r="77" spans="1:33" ht="48">
      <c r="A77" s="41" t="s">
        <v>294</v>
      </c>
      <c r="B77" s="93" t="s">
        <v>142</v>
      </c>
      <c r="C77" s="46" t="s">
        <v>270</v>
      </c>
      <c r="D77" s="46" t="s">
        <v>89</v>
      </c>
      <c r="E77" s="46" t="s">
        <v>23</v>
      </c>
      <c r="F77" s="46" t="s">
        <v>42</v>
      </c>
      <c r="G77" s="46" t="s">
        <v>195</v>
      </c>
      <c r="H77" s="46" t="s">
        <v>38</v>
      </c>
      <c r="I77" s="46" t="s">
        <v>16</v>
      </c>
      <c r="J77" s="46" t="s">
        <v>91</v>
      </c>
      <c r="K77" s="360">
        <v>13930</v>
      </c>
      <c r="L77" s="391">
        <f>1844+97</f>
        <v>1941</v>
      </c>
      <c r="M77" s="391">
        <f>1921+101</f>
        <v>2022</v>
      </c>
      <c r="N77" s="391">
        <f>1998+105</f>
        <v>2103</v>
      </c>
      <c r="O77" s="391">
        <f>1921+101</f>
        <v>2022</v>
      </c>
      <c r="P77" s="393">
        <f t="shared" si="16"/>
        <v>8088</v>
      </c>
      <c r="Q77" s="391"/>
      <c r="R77" s="391"/>
      <c r="S77" s="391"/>
      <c r="T77" s="391"/>
      <c r="U77" s="391"/>
      <c r="V77" s="391"/>
      <c r="W77" s="391"/>
      <c r="AB77" s="395">
        <f t="shared" si="2"/>
        <v>0</v>
      </c>
      <c r="AG77" s="395">
        <f t="shared" si="3"/>
        <v>0</v>
      </c>
    </row>
    <row r="78" spans="1:33" ht="36">
      <c r="A78" s="41" t="s">
        <v>295</v>
      </c>
      <c r="B78" s="93" t="s">
        <v>143</v>
      </c>
      <c r="C78" s="46" t="s">
        <v>270</v>
      </c>
      <c r="D78" s="46" t="s">
        <v>89</v>
      </c>
      <c r="E78" s="46" t="s">
        <v>23</v>
      </c>
      <c r="F78" s="46" t="s">
        <v>42</v>
      </c>
      <c r="G78" s="46" t="s">
        <v>195</v>
      </c>
      <c r="H78" s="46" t="s">
        <v>38</v>
      </c>
      <c r="I78" s="46" t="s">
        <v>16</v>
      </c>
      <c r="J78" s="46" t="s">
        <v>91</v>
      </c>
      <c r="K78" s="360">
        <v>5181</v>
      </c>
      <c r="L78" s="391">
        <f>1160+77</f>
        <v>1237</v>
      </c>
      <c r="M78" s="391">
        <f>1160+337</f>
        <v>1497</v>
      </c>
      <c r="N78" s="391">
        <f>1160+294</f>
        <v>1454</v>
      </c>
      <c r="O78" s="391">
        <f>1160+348</f>
        <v>1508</v>
      </c>
      <c r="P78" s="393">
        <f t="shared" si="16"/>
        <v>5696</v>
      </c>
      <c r="Q78" s="391"/>
      <c r="R78" s="391"/>
      <c r="S78" s="391"/>
      <c r="T78" s="391"/>
      <c r="U78" s="391"/>
      <c r="V78" s="391"/>
      <c r="W78" s="391"/>
      <c r="AB78" s="395">
        <f t="shared" si="2"/>
        <v>0</v>
      </c>
      <c r="AG78" s="395">
        <f t="shared" si="3"/>
        <v>0</v>
      </c>
    </row>
    <row r="79" spans="1:33" ht="24">
      <c r="A79" s="41" t="s">
        <v>296</v>
      </c>
      <c r="B79" s="93" t="s">
        <v>144</v>
      </c>
      <c r="C79" s="46" t="s">
        <v>270</v>
      </c>
      <c r="D79" s="46" t="s">
        <v>89</v>
      </c>
      <c r="E79" s="46" t="s">
        <v>23</v>
      </c>
      <c r="F79" s="46" t="s">
        <v>42</v>
      </c>
      <c r="G79" s="46" t="s">
        <v>195</v>
      </c>
      <c r="H79" s="46" t="s">
        <v>38</v>
      </c>
      <c r="I79" s="46" t="s">
        <v>16</v>
      </c>
      <c r="J79" s="46" t="s">
        <v>91</v>
      </c>
      <c r="K79" s="360">
        <v>185</v>
      </c>
      <c r="L79" s="391">
        <f>38+2</f>
        <v>40</v>
      </c>
      <c r="M79" s="391">
        <f>37+2</f>
        <v>39</v>
      </c>
      <c r="N79" s="391">
        <f>38+2</f>
        <v>40</v>
      </c>
      <c r="O79" s="391">
        <f>38+2</f>
        <v>40</v>
      </c>
      <c r="P79" s="393">
        <f t="shared" si="16"/>
        <v>159</v>
      </c>
      <c r="Q79" s="391"/>
      <c r="R79" s="391"/>
      <c r="S79" s="391"/>
      <c r="T79" s="391"/>
      <c r="U79" s="391"/>
      <c r="V79" s="391"/>
      <c r="W79" s="391"/>
      <c r="X79" s="210">
        <v>46</v>
      </c>
      <c r="Y79">
        <v>15</v>
      </c>
      <c r="AB79" s="395">
        <f t="shared" si="2"/>
        <v>15</v>
      </c>
      <c r="AG79" s="395">
        <f t="shared" si="3"/>
        <v>0</v>
      </c>
    </row>
    <row r="80" spans="1:33" ht="48">
      <c r="A80" s="41" t="s">
        <v>297</v>
      </c>
      <c r="B80" s="93" t="s">
        <v>245</v>
      </c>
      <c r="C80" s="46" t="s">
        <v>270</v>
      </c>
      <c r="D80" s="46" t="s">
        <v>89</v>
      </c>
      <c r="E80" s="46" t="s">
        <v>23</v>
      </c>
      <c r="F80" s="46" t="s">
        <v>42</v>
      </c>
      <c r="G80" s="46" t="s">
        <v>195</v>
      </c>
      <c r="H80" s="46" t="s">
        <v>38</v>
      </c>
      <c r="I80" s="46" t="s">
        <v>16</v>
      </c>
      <c r="J80" s="46" t="s">
        <v>91</v>
      </c>
      <c r="K80" s="360">
        <v>491</v>
      </c>
      <c r="L80" s="391">
        <f>84+5</f>
        <v>89</v>
      </c>
      <c r="M80" s="391">
        <f>85+4</f>
        <v>89</v>
      </c>
      <c r="N80" s="391">
        <f>84+4</f>
        <v>88</v>
      </c>
      <c r="O80" s="391">
        <f>84+5</f>
        <v>89</v>
      </c>
      <c r="P80" s="393">
        <f t="shared" si="16"/>
        <v>355</v>
      </c>
      <c r="Q80" s="391"/>
      <c r="R80" s="391"/>
      <c r="S80" s="391"/>
      <c r="T80" s="391"/>
      <c r="U80" s="391"/>
      <c r="V80" s="391"/>
      <c r="W80" s="391"/>
      <c r="AB80" s="395">
        <f t="shared" si="2"/>
        <v>0</v>
      </c>
      <c r="AG80" s="395">
        <f t="shared" si="3"/>
        <v>0</v>
      </c>
    </row>
    <row r="81" spans="1:33" ht="24" hidden="1">
      <c r="A81" s="41" t="s">
        <v>298</v>
      </c>
      <c r="B81" s="93" t="s">
        <v>246</v>
      </c>
      <c r="C81" s="46" t="s">
        <v>270</v>
      </c>
      <c r="D81" s="46" t="s">
        <v>89</v>
      </c>
      <c r="E81" s="46" t="s">
        <v>23</v>
      </c>
      <c r="F81" s="46" t="s">
        <v>42</v>
      </c>
      <c r="G81" s="46" t="s">
        <v>195</v>
      </c>
      <c r="H81" s="46" t="s">
        <v>38</v>
      </c>
      <c r="I81" s="46" t="s">
        <v>16</v>
      </c>
      <c r="J81" s="46" t="s">
        <v>91</v>
      </c>
      <c r="K81" s="359"/>
      <c r="L81" s="391">
        <v>24</v>
      </c>
      <c r="M81" s="391">
        <v>23</v>
      </c>
      <c r="N81" s="391">
        <v>24</v>
      </c>
      <c r="O81" s="391">
        <v>23</v>
      </c>
      <c r="P81" s="393">
        <f t="shared" si="16"/>
        <v>94</v>
      </c>
      <c r="Q81" s="391"/>
      <c r="R81" s="391"/>
      <c r="S81" s="391"/>
      <c r="T81" s="391"/>
      <c r="U81" s="391"/>
      <c r="V81" s="391"/>
      <c r="W81" s="391"/>
      <c r="AB81" s="395">
        <f t="shared" si="2"/>
        <v>0</v>
      </c>
      <c r="AG81" s="395">
        <f t="shared" si="3"/>
        <v>0</v>
      </c>
    </row>
    <row r="82" spans="1:33" ht="39" customHeight="1">
      <c r="A82" s="41"/>
      <c r="B82" s="93" t="s">
        <v>345</v>
      </c>
      <c r="C82" s="46" t="s">
        <v>270</v>
      </c>
      <c r="D82" s="46" t="s">
        <v>89</v>
      </c>
      <c r="E82" s="46" t="s">
        <v>23</v>
      </c>
      <c r="F82" s="46" t="s">
        <v>42</v>
      </c>
      <c r="G82" s="46" t="s">
        <v>195</v>
      </c>
      <c r="H82" s="46" t="s">
        <v>38</v>
      </c>
      <c r="I82" s="46" t="s">
        <v>16</v>
      </c>
      <c r="J82" s="46" t="s">
        <v>91</v>
      </c>
      <c r="K82" s="361">
        <v>681</v>
      </c>
      <c r="L82" s="391"/>
      <c r="M82" s="391"/>
      <c r="N82" s="391"/>
      <c r="O82" s="391"/>
      <c r="P82" s="393"/>
      <c r="Q82" s="391"/>
      <c r="R82" s="391"/>
      <c r="S82" s="391"/>
      <c r="T82" s="391"/>
      <c r="U82" s="391"/>
      <c r="V82" s="391"/>
      <c r="W82" s="391"/>
      <c r="AB82" s="395">
        <f t="shared" si="2"/>
        <v>0</v>
      </c>
      <c r="AG82" s="395">
        <f t="shared" si="3"/>
        <v>0</v>
      </c>
    </row>
    <row r="83" spans="1:33" ht="50.25" customHeight="1">
      <c r="A83" s="41" t="s">
        <v>304</v>
      </c>
      <c r="B83" s="93" t="s">
        <v>325</v>
      </c>
      <c r="C83" s="46" t="s">
        <v>270</v>
      </c>
      <c r="D83" s="46" t="s">
        <v>89</v>
      </c>
      <c r="E83" s="46" t="s">
        <v>23</v>
      </c>
      <c r="F83" s="46" t="s">
        <v>42</v>
      </c>
      <c r="G83" s="46" t="s">
        <v>195</v>
      </c>
      <c r="H83" s="46" t="s">
        <v>38</v>
      </c>
      <c r="I83" s="46" t="s">
        <v>16</v>
      </c>
      <c r="J83" s="46" t="s">
        <v>91</v>
      </c>
      <c r="K83" s="361">
        <v>367</v>
      </c>
      <c r="L83" s="391"/>
      <c r="M83" s="391"/>
      <c r="N83" s="391"/>
      <c r="O83" s="391"/>
      <c r="P83" s="393"/>
      <c r="Q83" s="391"/>
      <c r="R83" s="391"/>
      <c r="S83" s="391"/>
      <c r="T83" s="391"/>
      <c r="U83" s="391"/>
      <c r="V83" s="391"/>
      <c r="W83" s="391"/>
      <c r="AB83" s="395">
        <f t="shared" si="2"/>
        <v>0</v>
      </c>
      <c r="AG83" s="395">
        <f t="shared" si="3"/>
        <v>0</v>
      </c>
    </row>
    <row r="84" spans="1:33" ht="50.25" customHeight="1">
      <c r="A84" s="41"/>
      <c r="B84" s="93" t="s">
        <v>351</v>
      </c>
      <c r="C84" s="46" t="s">
        <v>270</v>
      </c>
      <c r="D84" s="46" t="s">
        <v>89</v>
      </c>
      <c r="E84" s="46" t="s">
        <v>23</v>
      </c>
      <c r="F84" s="46" t="s">
        <v>42</v>
      </c>
      <c r="G84" s="46" t="s">
        <v>195</v>
      </c>
      <c r="H84" s="46" t="s">
        <v>38</v>
      </c>
      <c r="I84" s="46" t="s">
        <v>16</v>
      </c>
      <c r="J84" s="46" t="s">
        <v>91</v>
      </c>
      <c r="K84" s="361">
        <v>138</v>
      </c>
      <c r="L84" s="391"/>
      <c r="M84" s="391"/>
      <c r="N84" s="391"/>
      <c r="O84" s="391"/>
      <c r="P84" s="393"/>
      <c r="Q84" s="391"/>
      <c r="R84" s="391"/>
      <c r="S84" s="391"/>
      <c r="T84" s="391"/>
      <c r="U84" s="391"/>
      <c r="V84" s="391"/>
      <c r="W84" s="391"/>
      <c r="AB84" s="395">
        <f t="shared" si="2"/>
        <v>0</v>
      </c>
      <c r="AG84" s="395">
        <f t="shared" si="3"/>
        <v>0</v>
      </c>
    </row>
    <row r="85" spans="1:33" ht="36">
      <c r="A85" s="41" t="s">
        <v>299</v>
      </c>
      <c r="B85" s="93" t="s">
        <v>247</v>
      </c>
      <c r="C85" s="46" t="s">
        <v>270</v>
      </c>
      <c r="D85" s="46" t="s">
        <v>89</v>
      </c>
      <c r="E85" s="46" t="s">
        <v>23</v>
      </c>
      <c r="F85" s="46" t="s">
        <v>42</v>
      </c>
      <c r="G85" s="46" t="s">
        <v>322</v>
      </c>
      <c r="H85" s="46" t="s">
        <v>38</v>
      </c>
      <c r="I85" s="46" t="s">
        <v>16</v>
      </c>
      <c r="J85" s="46" t="s">
        <v>91</v>
      </c>
      <c r="K85" s="361">
        <v>600</v>
      </c>
      <c r="L85" s="391">
        <f>385+20</f>
        <v>405</v>
      </c>
      <c r="M85" s="391">
        <v>0</v>
      </c>
      <c r="N85" s="391">
        <v>0</v>
      </c>
      <c r="O85" s="391">
        <v>0</v>
      </c>
      <c r="P85" s="393">
        <f t="shared" si="16"/>
        <v>405</v>
      </c>
      <c r="Q85" s="391"/>
      <c r="R85" s="391"/>
      <c r="S85" s="391"/>
      <c r="T85" s="391"/>
      <c r="U85" s="391"/>
      <c r="V85" s="391"/>
      <c r="W85" s="391"/>
      <c r="AB85" s="395">
        <f t="shared" si="2"/>
        <v>0</v>
      </c>
      <c r="AG85" s="395">
        <f t="shared" si="3"/>
        <v>0</v>
      </c>
    </row>
    <row r="86" spans="1:33" ht="48" hidden="1">
      <c r="A86" s="41" t="s">
        <v>300</v>
      </c>
      <c r="B86" s="93" t="s">
        <v>248</v>
      </c>
      <c r="C86" s="46" t="s">
        <v>270</v>
      </c>
      <c r="D86" s="46" t="s">
        <v>89</v>
      </c>
      <c r="E86" s="46" t="s">
        <v>23</v>
      </c>
      <c r="F86" s="46" t="s">
        <v>42</v>
      </c>
      <c r="G86" s="46" t="s">
        <v>323</v>
      </c>
      <c r="H86" s="46" t="s">
        <v>38</v>
      </c>
      <c r="I86" s="46" t="s">
        <v>16</v>
      </c>
      <c r="J86" s="46" t="s">
        <v>91</v>
      </c>
      <c r="K86" s="361"/>
      <c r="L86" s="391">
        <v>4</v>
      </c>
      <c r="M86" s="391">
        <v>3</v>
      </c>
      <c r="N86" s="391">
        <v>3</v>
      </c>
      <c r="O86" s="391">
        <v>3</v>
      </c>
      <c r="P86" s="393">
        <f t="shared" si="16"/>
        <v>13</v>
      </c>
      <c r="Q86" s="391"/>
      <c r="R86" s="391"/>
      <c r="S86" s="391"/>
      <c r="T86" s="391"/>
      <c r="U86" s="391"/>
      <c r="V86" s="391"/>
      <c r="W86" s="391"/>
      <c r="AB86" s="395">
        <f t="shared" si="2"/>
        <v>0</v>
      </c>
      <c r="AG86" s="395">
        <f t="shared" si="3"/>
        <v>0</v>
      </c>
    </row>
    <row r="87" spans="1:33" ht="48">
      <c r="A87" s="41" t="s">
        <v>303</v>
      </c>
      <c r="B87" s="93" t="s">
        <v>280</v>
      </c>
      <c r="C87" s="46" t="s">
        <v>270</v>
      </c>
      <c r="D87" s="46" t="s">
        <v>89</v>
      </c>
      <c r="E87" s="46" t="s">
        <v>23</v>
      </c>
      <c r="F87" s="46" t="s">
        <v>42</v>
      </c>
      <c r="G87" s="46" t="s">
        <v>324</v>
      </c>
      <c r="H87" s="46" t="s">
        <v>38</v>
      </c>
      <c r="I87" s="46" t="s">
        <v>16</v>
      </c>
      <c r="J87" s="46" t="s">
        <v>91</v>
      </c>
      <c r="K87" s="361">
        <v>5175</v>
      </c>
      <c r="L87" s="391"/>
      <c r="M87" s="391"/>
      <c r="N87" s="391"/>
      <c r="O87" s="391"/>
      <c r="P87" s="393"/>
      <c r="Q87" s="391"/>
      <c r="R87" s="391"/>
      <c r="S87" s="391"/>
      <c r="T87" s="391"/>
      <c r="U87" s="391"/>
      <c r="V87" s="391"/>
      <c r="W87" s="391"/>
      <c r="AB87" s="395">
        <f aca="true" t="shared" si="17" ref="AB87:AB116">Y87+Z87+AA87</f>
        <v>0</v>
      </c>
      <c r="AG87" s="395">
        <f aca="true" t="shared" si="18" ref="AG87:AG116">AD87+AE87+AF87</f>
        <v>0</v>
      </c>
    </row>
    <row r="88" spans="1:33" ht="36">
      <c r="A88" s="41" t="s">
        <v>302</v>
      </c>
      <c r="B88" s="93" t="s">
        <v>255</v>
      </c>
      <c r="C88" s="46" t="s">
        <v>270</v>
      </c>
      <c r="D88" s="46" t="s">
        <v>89</v>
      </c>
      <c r="E88" s="46" t="s">
        <v>23</v>
      </c>
      <c r="F88" s="46" t="s">
        <v>42</v>
      </c>
      <c r="G88" s="46" t="s">
        <v>200</v>
      </c>
      <c r="H88" s="46" t="s">
        <v>38</v>
      </c>
      <c r="I88" s="46" t="s">
        <v>16</v>
      </c>
      <c r="J88" s="46" t="s">
        <v>91</v>
      </c>
      <c r="K88" s="361">
        <v>3383</v>
      </c>
      <c r="L88" s="391">
        <f>646+150</f>
        <v>796</v>
      </c>
      <c r="M88" s="391">
        <v>646</v>
      </c>
      <c r="N88" s="391">
        <v>645</v>
      </c>
      <c r="O88" s="391">
        <v>645</v>
      </c>
      <c r="P88" s="393">
        <f t="shared" si="16"/>
        <v>2732</v>
      </c>
      <c r="Q88" s="391"/>
      <c r="R88" s="391"/>
      <c r="S88" s="391"/>
      <c r="T88" s="391"/>
      <c r="U88" s="391"/>
      <c r="V88" s="391"/>
      <c r="W88" s="391"/>
      <c r="AB88" s="395">
        <f t="shared" si="17"/>
        <v>0</v>
      </c>
      <c r="AG88" s="395">
        <f t="shared" si="18"/>
        <v>0</v>
      </c>
    </row>
    <row r="89" spans="1:33" ht="36">
      <c r="A89" s="41" t="s">
        <v>305</v>
      </c>
      <c r="B89" s="93" t="s">
        <v>349</v>
      </c>
      <c r="C89" s="46" t="s">
        <v>270</v>
      </c>
      <c r="D89" s="46" t="s">
        <v>89</v>
      </c>
      <c r="E89" s="46" t="s">
        <v>23</v>
      </c>
      <c r="F89" s="46" t="s">
        <v>77</v>
      </c>
      <c r="G89" s="46" t="s">
        <v>66</v>
      </c>
      <c r="H89" s="46" t="s">
        <v>38</v>
      </c>
      <c r="I89" s="46" t="s">
        <v>16</v>
      </c>
      <c r="J89" s="46" t="s">
        <v>91</v>
      </c>
      <c r="K89" s="252">
        <f>K90+K91</f>
        <v>2000</v>
      </c>
      <c r="L89" s="391">
        <v>1187</v>
      </c>
      <c r="M89" s="391">
        <v>1188</v>
      </c>
      <c r="N89" s="391">
        <v>1188</v>
      </c>
      <c r="O89" s="391">
        <v>1188</v>
      </c>
      <c r="P89" s="393">
        <f t="shared" si="16"/>
        <v>4751</v>
      </c>
      <c r="Q89" s="391"/>
      <c r="R89" s="391"/>
      <c r="S89" s="391"/>
      <c r="T89" s="391"/>
      <c r="U89" s="391"/>
      <c r="V89" s="391"/>
      <c r="W89" s="391"/>
      <c r="AB89" s="395">
        <f t="shared" si="17"/>
        <v>0</v>
      </c>
      <c r="AG89" s="395">
        <f t="shared" si="18"/>
        <v>0</v>
      </c>
    </row>
    <row r="90" spans="1:33" ht="12.75">
      <c r="A90" s="41"/>
      <c r="B90" s="93" t="s">
        <v>331</v>
      </c>
      <c r="C90" s="46" t="s">
        <v>270</v>
      </c>
      <c r="D90" s="46" t="s">
        <v>89</v>
      </c>
      <c r="E90" s="46" t="s">
        <v>23</v>
      </c>
      <c r="F90" s="46" t="s">
        <v>77</v>
      </c>
      <c r="G90" s="46" t="s">
        <v>66</v>
      </c>
      <c r="H90" s="46" t="s">
        <v>38</v>
      </c>
      <c r="I90" s="46" t="s">
        <v>16</v>
      </c>
      <c r="J90" s="46" t="s">
        <v>91</v>
      </c>
      <c r="K90" s="251">
        <v>500</v>
      </c>
      <c r="L90" s="391"/>
      <c r="M90" s="391"/>
      <c r="N90" s="391"/>
      <c r="O90" s="391"/>
      <c r="P90" s="393"/>
      <c r="Q90" s="391"/>
      <c r="R90" s="391"/>
      <c r="S90" s="391"/>
      <c r="T90" s="391"/>
      <c r="U90" s="391"/>
      <c r="V90" s="391"/>
      <c r="W90" s="391"/>
      <c r="AB90" s="395">
        <f t="shared" si="17"/>
        <v>0</v>
      </c>
      <c r="AG90" s="395">
        <f t="shared" si="18"/>
        <v>0</v>
      </c>
    </row>
    <row r="91" spans="1:33" ht="24">
      <c r="A91" s="41"/>
      <c r="B91" s="93" t="s">
        <v>332</v>
      </c>
      <c r="C91" s="46" t="s">
        <v>270</v>
      </c>
      <c r="D91" s="46" t="s">
        <v>89</v>
      </c>
      <c r="E91" s="46" t="s">
        <v>23</v>
      </c>
      <c r="F91" s="46" t="s">
        <v>77</v>
      </c>
      <c r="G91" s="46" t="s">
        <v>66</v>
      </c>
      <c r="H91" s="46" t="s">
        <v>38</v>
      </c>
      <c r="I91" s="46" t="s">
        <v>16</v>
      </c>
      <c r="J91" s="46" t="s">
        <v>91</v>
      </c>
      <c r="K91" s="251">
        <v>1500</v>
      </c>
      <c r="L91" s="391"/>
      <c r="M91" s="391"/>
      <c r="N91" s="391"/>
      <c r="O91" s="391"/>
      <c r="P91" s="393"/>
      <c r="Q91" s="391"/>
      <c r="R91" s="391"/>
      <c r="S91" s="391"/>
      <c r="T91" s="391"/>
      <c r="U91" s="391"/>
      <c r="V91" s="391"/>
      <c r="W91" s="391"/>
      <c r="AB91" s="395">
        <f t="shared" si="17"/>
        <v>0</v>
      </c>
      <c r="AG91" s="395">
        <f t="shared" si="18"/>
        <v>0</v>
      </c>
    </row>
    <row r="92" spans="1:33" ht="12.75" hidden="1">
      <c r="A92" s="236" t="s">
        <v>44</v>
      </c>
      <c r="B92" s="105" t="s">
        <v>253</v>
      </c>
      <c r="C92" s="69" t="s">
        <v>14</v>
      </c>
      <c r="D92" s="69" t="s">
        <v>89</v>
      </c>
      <c r="E92" s="69" t="s">
        <v>23</v>
      </c>
      <c r="F92" s="69" t="s">
        <v>77</v>
      </c>
      <c r="G92" s="69" t="s">
        <v>14</v>
      </c>
      <c r="H92" s="69" t="s">
        <v>15</v>
      </c>
      <c r="I92" s="69" t="s">
        <v>16</v>
      </c>
      <c r="J92" s="69" t="s">
        <v>14</v>
      </c>
      <c r="K92" s="249">
        <f>K95+K96+K97+K98+K100+K101+K102+K103+K104+K105+K106+K107+K109</f>
        <v>0</v>
      </c>
      <c r="L92" s="249">
        <f>L95+L96+L97+L98+L100+L101+L102+L103+L104+L105+L106</f>
        <v>18420</v>
      </c>
      <c r="M92" s="249">
        <f>M95+M96+M97+M98+M100+M101+M102+M103+M104+M105+M106</f>
        <v>7128</v>
      </c>
      <c r="N92" s="249">
        <f>N95+N96+N97+N98+N100+N101+N102+N103+N104+N105+N106</f>
        <v>4544</v>
      </c>
      <c r="O92" s="249">
        <f>O95+O96+O97+O98+O100+O101+O102+O103+O104+O105+O106</f>
        <v>5419</v>
      </c>
      <c r="P92" s="249">
        <f>P95+P96+P97+P98+P100+P101+P102+P103+P104+P105+P106</f>
        <v>35511</v>
      </c>
      <c r="Q92" s="391"/>
      <c r="R92" s="391"/>
      <c r="S92" s="391"/>
      <c r="T92" s="391"/>
      <c r="U92" s="391"/>
      <c r="V92" s="391"/>
      <c r="W92" s="391"/>
      <c r="AB92" s="395">
        <f t="shared" si="17"/>
        <v>0</v>
      </c>
      <c r="AG92" s="395">
        <f t="shared" si="18"/>
        <v>0</v>
      </c>
    </row>
    <row r="93" spans="1:33" ht="12.75" hidden="1">
      <c r="A93" s="236"/>
      <c r="B93" s="105"/>
      <c r="C93" s="69"/>
      <c r="D93" s="69"/>
      <c r="E93" s="69"/>
      <c r="F93" s="69"/>
      <c r="G93" s="69"/>
      <c r="H93" s="69"/>
      <c r="I93" s="69"/>
      <c r="J93" s="69"/>
      <c r="K93" s="249"/>
      <c r="L93" s="391"/>
      <c r="M93" s="391"/>
      <c r="N93" s="391"/>
      <c r="O93" s="391"/>
      <c r="P93" s="393">
        <f t="shared" si="16"/>
        <v>0</v>
      </c>
      <c r="Q93" s="391"/>
      <c r="R93" s="391"/>
      <c r="S93" s="391"/>
      <c r="T93" s="391"/>
      <c r="U93" s="391"/>
      <c r="V93" s="391"/>
      <c r="W93" s="391"/>
      <c r="AB93" s="395">
        <f t="shared" si="17"/>
        <v>0</v>
      </c>
      <c r="AG93" s="395">
        <f t="shared" si="18"/>
        <v>0</v>
      </c>
    </row>
    <row r="94" spans="1:33" ht="12.75" hidden="1">
      <c r="A94" s="236"/>
      <c r="B94" s="93" t="s">
        <v>134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265</v>
      </c>
      <c r="H94" s="70" t="s">
        <v>38</v>
      </c>
      <c r="I94" s="70" t="s">
        <v>16</v>
      </c>
      <c r="J94" s="70" t="s">
        <v>91</v>
      </c>
      <c r="K94" s="326">
        <v>0</v>
      </c>
      <c r="L94" s="391"/>
      <c r="M94" s="391"/>
      <c r="N94" s="391"/>
      <c r="O94" s="391"/>
      <c r="P94" s="393">
        <f t="shared" si="16"/>
        <v>0</v>
      </c>
      <c r="Q94" s="391"/>
      <c r="R94" s="391"/>
      <c r="S94" s="391"/>
      <c r="T94" s="391"/>
      <c r="U94" s="391"/>
      <c r="V94" s="391"/>
      <c r="W94" s="391"/>
      <c r="AB94" s="395">
        <f t="shared" si="17"/>
        <v>0</v>
      </c>
      <c r="AG94" s="395">
        <f t="shared" si="18"/>
        <v>0</v>
      </c>
    </row>
    <row r="95" spans="1:33" ht="12.75" hidden="1">
      <c r="A95" s="325" t="s">
        <v>306</v>
      </c>
      <c r="B95" s="93" t="s">
        <v>133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265</v>
      </c>
      <c r="H95" s="70" t="s">
        <v>38</v>
      </c>
      <c r="I95" s="70" t="s">
        <v>16</v>
      </c>
      <c r="J95" s="70" t="s">
        <v>91</v>
      </c>
      <c r="K95" s="326">
        <v>0</v>
      </c>
      <c r="L95" s="391">
        <v>15</v>
      </c>
      <c r="M95" s="391">
        <v>15</v>
      </c>
      <c r="N95" s="391">
        <v>15</v>
      </c>
      <c r="O95" s="391">
        <v>15</v>
      </c>
      <c r="P95" s="393">
        <f t="shared" si="16"/>
        <v>60</v>
      </c>
      <c r="Q95" s="391"/>
      <c r="R95" s="391"/>
      <c r="S95" s="391"/>
      <c r="T95" s="391"/>
      <c r="U95" s="391"/>
      <c r="V95" s="391"/>
      <c r="W95" s="391"/>
      <c r="AB95" s="395">
        <f t="shared" si="17"/>
        <v>0</v>
      </c>
      <c r="AG95" s="395">
        <f t="shared" si="18"/>
        <v>0</v>
      </c>
    </row>
    <row r="96" spans="1:33" ht="12.75" hidden="1">
      <c r="A96" s="325" t="s">
        <v>97</v>
      </c>
      <c r="B96" s="93" t="s">
        <v>236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265</v>
      </c>
      <c r="H96" s="70" t="s">
        <v>38</v>
      </c>
      <c r="I96" s="70" t="s">
        <v>16</v>
      </c>
      <c r="J96" s="70" t="s">
        <v>91</v>
      </c>
      <c r="K96" s="326">
        <v>0</v>
      </c>
      <c r="L96" s="391">
        <v>1986</v>
      </c>
      <c r="M96" s="391">
        <v>1441</v>
      </c>
      <c r="N96" s="391">
        <v>896</v>
      </c>
      <c r="O96" s="391">
        <v>1985</v>
      </c>
      <c r="P96" s="393">
        <f t="shared" si="16"/>
        <v>6308</v>
      </c>
      <c r="Q96" s="391"/>
      <c r="R96" s="391"/>
      <c r="S96" s="391"/>
      <c r="T96" s="391"/>
      <c r="U96" s="391"/>
      <c r="V96" s="391"/>
      <c r="W96" s="391"/>
      <c r="AB96" s="395">
        <f t="shared" si="17"/>
        <v>0</v>
      </c>
      <c r="AG96" s="395">
        <f t="shared" si="18"/>
        <v>0</v>
      </c>
    </row>
    <row r="97" spans="1:33" ht="24" hidden="1">
      <c r="A97" s="325" t="s">
        <v>237</v>
      </c>
      <c r="B97" s="93" t="s">
        <v>96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265</v>
      </c>
      <c r="H97" s="70" t="s">
        <v>38</v>
      </c>
      <c r="I97" s="70" t="s">
        <v>16</v>
      </c>
      <c r="J97" s="70" t="s">
        <v>91</v>
      </c>
      <c r="K97" s="326">
        <v>0</v>
      </c>
      <c r="L97" s="391">
        <v>13000</v>
      </c>
      <c r="M97" s="391">
        <v>2000</v>
      </c>
      <c r="N97" s="391">
        <v>0</v>
      </c>
      <c r="O97" s="391">
        <v>0</v>
      </c>
      <c r="P97" s="393">
        <f t="shared" si="16"/>
        <v>15000</v>
      </c>
      <c r="Q97" s="391"/>
      <c r="R97" s="391"/>
      <c r="S97" s="391"/>
      <c r="T97" s="391"/>
      <c r="U97" s="391"/>
      <c r="V97" s="391"/>
      <c r="W97" s="391"/>
      <c r="AB97" s="395">
        <f t="shared" si="17"/>
        <v>0</v>
      </c>
      <c r="AG97" s="395">
        <f t="shared" si="18"/>
        <v>0</v>
      </c>
    </row>
    <row r="98" spans="1:33" ht="24" hidden="1">
      <c r="A98" s="325" t="s">
        <v>307</v>
      </c>
      <c r="B98" s="93" t="s">
        <v>239</v>
      </c>
      <c r="C98" s="70" t="s">
        <v>14</v>
      </c>
      <c r="D98" s="70" t="s">
        <v>89</v>
      </c>
      <c r="E98" s="70" t="s">
        <v>23</v>
      </c>
      <c r="F98" s="70" t="s">
        <v>77</v>
      </c>
      <c r="G98" s="70" t="s">
        <v>265</v>
      </c>
      <c r="H98" s="70" t="s">
        <v>38</v>
      </c>
      <c r="I98" s="70" t="s">
        <v>16</v>
      </c>
      <c r="J98" s="70" t="s">
        <v>91</v>
      </c>
      <c r="K98" s="326">
        <v>0</v>
      </c>
      <c r="L98" s="391">
        <v>875</v>
      </c>
      <c r="M98" s="391">
        <v>875</v>
      </c>
      <c r="N98" s="391">
        <v>875</v>
      </c>
      <c r="O98" s="391">
        <v>875</v>
      </c>
      <c r="P98" s="393">
        <f t="shared" si="16"/>
        <v>3500</v>
      </c>
      <c r="Q98" s="393">
        <v>500</v>
      </c>
      <c r="R98" s="391"/>
      <c r="S98" s="391"/>
      <c r="T98" s="391"/>
      <c r="U98" s="391"/>
      <c r="V98" s="391"/>
      <c r="W98" s="391"/>
      <c r="AB98" s="395">
        <f t="shared" si="17"/>
        <v>0</v>
      </c>
      <c r="AG98" s="395">
        <f t="shared" si="18"/>
        <v>0</v>
      </c>
    </row>
    <row r="99" spans="1:33" ht="12.75" hidden="1">
      <c r="A99" s="325"/>
      <c r="B99" s="93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265</v>
      </c>
      <c r="H99" s="70" t="s">
        <v>38</v>
      </c>
      <c r="I99" s="70" t="s">
        <v>16</v>
      </c>
      <c r="J99" s="70" t="s">
        <v>91</v>
      </c>
      <c r="K99" s="64"/>
      <c r="L99" s="391"/>
      <c r="M99" s="391"/>
      <c r="N99" s="391"/>
      <c r="O99" s="391"/>
      <c r="P99" s="393">
        <f t="shared" si="16"/>
        <v>0</v>
      </c>
      <c r="Q99" s="391"/>
      <c r="R99" s="391"/>
      <c r="S99" s="391"/>
      <c r="T99" s="391"/>
      <c r="U99" s="391"/>
      <c r="V99" s="391"/>
      <c r="W99" s="391"/>
      <c r="AB99" s="395">
        <f t="shared" si="17"/>
        <v>0</v>
      </c>
      <c r="AG99" s="395">
        <f t="shared" si="18"/>
        <v>0</v>
      </c>
    </row>
    <row r="100" spans="1:33" ht="36" hidden="1">
      <c r="A100" s="325" t="s">
        <v>249</v>
      </c>
      <c r="B100" s="93" t="s">
        <v>244</v>
      </c>
      <c r="C100" s="70" t="s">
        <v>14</v>
      </c>
      <c r="D100" s="70" t="s">
        <v>89</v>
      </c>
      <c r="E100" s="70" t="s">
        <v>23</v>
      </c>
      <c r="F100" s="70" t="s">
        <v>77</v>
      </c>
      <c r="G100" s="70" t="s">
        <v>265</v>
      </c>
      <c r="H100" s="70" t="s">
        <v>38</v>
      </c>
      <c r="I100" s="70" t="s">
        <v>16</v>
      </c>
      <c r="J100" s="70" t="s">
        <v>91</v>
      </c>
      <c r="K100" s="326">
        <v>0</v>
      </c>
      <c r="L100" s="391">
        <v>56</v>
      </c>
      <c r="M100" s="391">
        <v>55</v>
      </c>
      <c r="N100" s="391">
        <v>56</v>
      </c>
      <c r="O100" s="391">
        <v>56</v>
      </c>
      <c r="P100" s="393">
        <f t="shared" si="16"/>
        <v>223</v>
      </c>
      <c r="Q100" s="391"/>
      <c r="R100" s="391"/>
      <c r="S100" s="391"/>
      <c r="T100" s="391"/>
      <c r="U100" s="391"/>
      <c r="V100" s="391"/>
      <c r="W100" s="391"/>
      <c r="AB100" s="395">
        <f t="shared" si="17"/>
        <v>0</v>
      </c>
      <c r="AG100" s="395">
        <f t="shared" si="18"/>
        <v>0</v>
      </c>
    </row>
    <row r="101" spans="1:33" ht="36" hidden="1">
      <c r="A101" s="325" t="s">
        <v>250</v>
      </c>
      <c r="B101" s="93" t="s">
        <v>243</v>
      </c>
      <c r="C101" s="70" t="s">
        <v>14</v>
      </c>
      <c r="D101" s="70" t="s">
        <v>89</v>
      </c>
      <c r="E101" s="70" t="s">
        <v>23</v>
      </c>
      <c r="F101" s="70" t="s">
        <v>77</v>
      </c>
      <c r="G101" s="70" t="s">
        <v>265</v>
      </c>
      <c r="H101" s="70" t="s">
        <v>38</v>
      </c>
      <c r="I101" s="70" t="s">
        <v>16</v>
      </c>
      <c r="J101" s="70" t="s">
        <v>91</v>
      </c>
      <c r="K101" s="326">
        <v>0</v>
      </c>
      <c r="L101" s="391">
        <v>245</v>
      </c>
      <c r="M101" s="391">
        <v>246</v>
      </c>
      <c r="N101" s="391">
        <v>246</v>
      </c>
      <c r="O101" s="391">
        <v>246</v>
      </c>
      <c r="P101" s="393">
        <f t="shared" si="16"/>
        <v>983</v>
      </c>
      <c r="Q101" s="391"/>
      <c r="R101" s="391"/>
      <c r="S101" s="391"/>
      <c r="T101" s="391"/>
      <c r="U101" s="391"/>
      <c r="V101" s="391"/>
      <c r="W101" s="391"/>
      <c r="AB101" s="395">
        <f t="shared" si="17"/>
        <v>0</v>
      </c>
      <c r="AG101" s="395">
        <f t="shared" si="18"/>
        <v>0</v>
      </c>
    </row>
    <row r="102" spans="1:33" ht="36" hidden="1">
      <c r="A102" s="325" t="s">
        <v>251</v>
      </c>
      <c r="B102" s="93" t="s">
        <v>242</v>
      </c>
      <c r="C102" s="70" t="s">
        <v>14</v>
      </c>
      <c r="D102" s="70" t="s">
        <v>89</v>
      </c>
      <c r="E102" s="70" t="s">
        <v>23</v>
      </c>
      <c r="F102" s="70" t="s">
        <v>77</v>
      </c>
      <c r="G102" s="70" t="s">
        <v>265</v>
      </c>
      <c r="H102" s="70" t="s">
        <v>38</v>
      </c>
      <c r="I102" s="70" t="s">
        <v>16</v>
      </c>
      <c r="J102" s="70" t="s">
        <v>91</v>
      </c>
      <c r="K102" s="326">
        <v>0</v>
      </c>
      <c r="L102" s="391">
        <v>1320</v>
      </c>
      <c r="M102" s="391">
        <v>1549</v>
      </c>
      <c r="N102" s="391">
        <v>1548</v>
      </c>
      <c r="O102" s="391">
        <v>1320</v>
      </c>
      <c r="P102" s="393">
        <f t="shared" si="16"/>
        <v>5737</v>
      </c>
      <c r="Q102" s="391"/>
      <c r="R102" s="391"/>
      <c r="S102" s="391"/>
      <c r="T102" s="391"/>
      <c r="U102" s="391"/>
      <c r="V102" s="391"/>
      <c r="W102" s="391"/>
      <c r="AB102" s="395">
        <f t="shared" si="17"/>
        <v>0</v>
      </c>
      <c r="AG102" s="395">
        <f t="shared" si="18"/>
        <v>0</v>
      </c>
    </row>
    <row r="103" spans="1:33" ht="36" hidden="1">
      <c r="A103" s="325" t="s">
        <v>263</v>
      </c>
      <c r="B103" s="93" t="s">
        <v>241</v>
      </c>
      <c r="C103" s="70" t="s">
        <v>14</v>
      </c>
      <c r="D103" s="70" t="s">
        <v>89</v>
      </c>
      <c r="E103" s="70" t="s">
        <v>23</v>
      </c>
      <c r="F103" s="70" t="s">
        <v>77</v>
      </c>
      <c r="G103" s="70" t="s">
        <v>265</v>
      </c>
      <c r="H103" s="70" t="s">
        <v>38</v>
      </c>
      <c r="I103" s="70" t="s">
        <v>16</v>
      </c>
      <c r="J103" s="70" t="s">
        <v>91</v>
      </c>
      <c r="K103" s="326">
        <v>0</v>
      </c>
      <c r="L103" s="391">
        <v>443</v>
      </c>
      <c r="M103" s="391">
        <v>443</v>
      </c>
      <c r="N103" s="391">
        <v>442</v>
      </c>
      <c r="O103" s="391">
        <v>442</v>
      </c>
      <c r="P103" s="393">
        <f t="shared" si="16"/>
        <v>1770</v>
      </c>
      <c r="Q103" s="391"/>
      <c r="R103" s="391"/>
      <c r="S103" s="391"/>
      <c r="T103" s="391"/>
      <c r="U103" s="391"/>
      <c r="V103" s="391"/>
      <c r="W103" s="391"/>
      <c r="AB103" s="395">
        <f t="shared" si="17"/>
        <v>0</v>
      </c>
      <c r="AG103" s="395">
        <f t="shared" si="18"/>
        <v>0</v>
      </c>
    </row>
    <row r="104" spans="1:33" ht="36" hidden="1">
      <c r="A104" s="325" t="s">
        <v>308</v>
      </c>
      <c r="B104" s="93" t="s">
        <v>240</v>
      </c>
      <c r="C104" s="70" t="s">
        <v>14</v>
      </c>
      <c r="D104" s="70" t="s">
        <v>89</v>
      </c>
      <c r="E104" s="70" t="s">
        <v>23</v>
      </c>
      <c r="F104" s="70" t="s">
        <v>77</v>
      </c>
      <c r="G104" s="70" t="s">
        <v>265</v>
      </c>
      <c r="H104" s="70" t="s">
        <v>38</v>
      </c>
      <c r="I104" s="70" t="s">
        <v>16</v>
      </c>
      <c r="J104" s="70" t="s">
        <v>91</v>
      </c>
      <c r="K104" s="326">
        <v>0</v>
      </c>
      <c r="L104" s="391">
        <v>35</v>
      </c>
      <c r="M104" s="391">
        <v>59</v>
      </c>
      <c r="N104" s="391">
        <v>21</v>
      </c>
      <c r="O104" s="391">
        <v>35</v>
      </c>
      <c r="P104" s="393">
        <f t="shared" si="16"/>
        <v>150</v>
      </c>
      <c r="Q104" s="391"/>
      <c r="R104" s="391"/>
      <c r="S104" s="391"/>
      <c r="T104" s="391"/>
      <c r="U104" s="391"/>
      <c r="V104" s="391"/>
      <c r="W104" s="391"/>
      <c r="AB104" s="395">
        <f t="shared" si="17"/>
        <v>0</v>
      </c>
      <c r="AG104" s="395">
        <f t="shared" si="18"/>
        <v>0</v>
      </c>
    </row>
    <row r="105" spans="1:33" ht="33" customHeight="1" hidden="1">
      <c r="A105" s="325" t="s">
        <v>309</v>
      </c>
      <c r="B105" s="135" t="s">
        <v>281</v>
      </c>
      <c r="C105" s="69" t="s">
        <v>14</v>
      </c>
      <c r="D105" s="69" t="s">
        <v>89</v>
      </c>
      <c r="E105" s="69" t="s">
        <v>23</v>
      </c>
      <c r="F105" s="69" t="s">
        <v>77</v>
      </c>
      <c r="G105" s="69" t="s">
        <v>265</v>
      </c>
      <c r="H105" s="69" t="s">
        <v>38</v>
      </c>
      <c r="I105" s="69" t="s">
        <v>16</v>
      </c>
      <c r="J105" s="69" t="s">
        <v>91</v>
      </c>
      <c r="K105" s="233">
        <v>0</v>
      </c>
      <c r="L105" s="391">
        <v>170</v>
      </c>
      <c r="M105" s="391">
        <v>170</v>
      </c>
      <c r="N105" s="391">
        <v>170</v>
      </c>
      <c r="O105" s="391">
        <v>170</v>
      </c>
      <c r="P105" s="393">
        <f t="shared" si="16"/>
        <v>680</v>
      </c>
      <c r="Q105" s="391"/>
      <c r="R105" s="391"/>
      <c r="S105" s="391"/>
      <c r="T105" s="391"/>
      <c r="U105" s="391"/>
      <c r="V105" s="391"/>
      <c r="W105" s="391"/>
      <c r="AB105" s="395">
        <f t="shared" si="17"/>
        <v>0</v>
      </c>
      <c r="AG105" s="395">
        <f t="shared" si="18"/>
        <v>0</v>
      </c>
    </row>
    <row r="106" spans="1:33" ht="36.75" customHeight="1" hidden="1">
      <c r="A106" s="325" t="s">
        <v>310</v>
      </c>
      <c r="B106" s="135" t="s">
        <v>238</v>
      </c>
      <c r="C106" s="69" t="s">
        <v>14</v>
      </c>
      <c r="D106" s="69" t="s">
        <v>89</v>
      </c>
      <c r="E106" s="69" t="s">
        <v>23</v>
      </c>
      <c r="F106" s="69" t="s">
        <v>77</v>
      </c>
      <c r="G106" s="69" t="s">
        <v>268</v>
      </c>
      <c r="H106" s="69" t="s">
        <v>38</v>
      </c>
      <c r="I106" s="69" t="s">
        <v>16</v>
      </c>
      <c r="J106" s="69" t="s">
        <v>91</v>
      </c>
      <c r="K106" s="233">
        <v>0</v>
      </c>
      <c r="L106" s="391">
        <v>275</v>
      </c>
      <c r="M106" s="391">
        <v>275</v>
      </c>
      <c r="N106" s="391">
        <v>275</v>
      </c>
      <c r="O106" s="391">
        <v>275</v>
      </c>
      <c r="P106" s="393">
        <f t="shared" si="16"/>
        <v>1100</v>
      </c>
      <c r="Q106" s="391"/>
      <c r="R106" s="391"/>
      <c r="S106" s="391"/>
      <c r="T106" s="391"/>
      <c r="U106" s="391"/>
      <c r="V106" s="391"/>
      <c r="W106" s="391"/>
      <c r="AB106" s="395">
        <f t="shared" si="17"/>
        <v>0</v>
      </c>
      <c r="AG106" s="395">
        <f t="shared" si="18"/>
        <v>0</v>
      </c>
    </row>
    <row r="107" spans="1:33" ht="12.75" hidden="1">
      <c r="A107" s="325" t="s">
        <v>311</v>
      </c>
      <c r="B107" s="135" t="s">
        <v>282</v>
      </c>
      <c r="C107" s="69" t="s">
        <v>14</v>
      </c>
      <c r="D107" s="69" t="s">
        <v>89</v>
      </c>
      <c r="E107" s="69" t="s">
        <v>23</v>
      </c>
      <c r="F107" s="69" t="s">
        <v>77</v>
      </c>
      <c r="G107" s="69" t="s">
        <v>267</v>
      </c>
      <c r="H107" s="69" t="s">
        <v>38</v>
      </c>
      <c r="I107" s="69" t="s">
        <v>16</v>
      </c>
      <c r="J107" s="69" t="s">
        <v>91</v>
      </c>
      <c r="K107" s="233">
        <v>0</v>
      </c>
      <c r="L107" s="391">
        <f>4600+71</f>
        <v>4671</v>
      </c>
      <c r="M107" s="391">
        <f>2500+1300-300</f>
        <v>3500</v>
      </c>
      <c r="N107" s="391">
        <f>2400-100</f>
        <v>2300</v>
      </c>
      <c r="O107" s="391">
        <f>13700-600</f>
        <v>13100</v>
      </c>
      <c r="P107" s="393">
        <f t="shared" si="16"/>
        <v>23571</v>
      </c>
      <c r="Q107" s="391"/>
      <c r="R107" s="391"/>
      <c r="S107" s="391"/>
      <c r="T107" s="391"/>
      <c r="U107" s="391"/>
      <c r="V107" s="391"/>
      <c r="W107" s="391"/>
      <c r="AB107" s="395">
        <f t="shared" si="17"/>
        <v>0</v>
      </c>
      <c r="AG107" s="395">
        <f t="shared" si="18"/>
        <v>0</v>
      </c>
    </row>
    <row r="108" spans="1:33" ht="36" hidden="1">
      <c r="A108" s="325" t="s">
        <v>312</v>
      </c>
      <c r="B108" s="135" t="s">
        <v>283</v>
      </c>
      <c r="C108" s="69" t="s">
        <v>14</v>
      </c>
      <c r="D108" s="69" t="s">
        <v>89</v>
      </c>
      <c r="E108" s="69" t="s">
        <v>23</v>
      </c>
      <c r="F108" s="69" t="s">
        <v>23</v>
      </c>
      <c r="G108" s="69" t="s">
        <v>266</v>
      </c>
      <c r="H108" s="69" t="s">
        <v>38</v>
      </c>
      <c r="I108" s="69" t="s">
        <v>16</v>
      </c>
      <c r="J108" s="69" t="s">
        <v>91</v>
      </c>
      <c r="K108" s="233">
        <v>0</v>
      </c>
      <c r="L108" s="391"/>
      <c r="M108" s="391"/>
      <c r="N108" s="391"/>
      <c r="O108" s="391"/>
      <c r="P108" s="393"/>
      <c r="Q108" s="391"/>
      <c r="R108" s="391"/>
      <c r="S108" s="391"/>
      <c r="T108" s="391"/>
      <c r="U108" s="391"/>
      <c r="V108" s="391"/>
      <c r="W108" s="391"/>
      <c r="AB108" s="395">
        <f t="shared" si="17"/>
        <v>0</v>
      </c>
      <c r="AG108" s="395">
        <f t="shared" si="18"/>
        <v>0</v>
      </c>
    </row>
    <row r="109" spans="1:33" ht="24" hidden="1">
      <c r="A109" s="325" t="s">
        <v>313</v>
      </c>
      <c r="B109" s="135" t="s">
        <v>271</v>
      </c>
      <c r="C109" s="69" t="s">
        <v>14</v>
      </c>
      <c r="D109" s="69" t="s">
        <v>89</v>
      </c>
      <c r="E109" s="69" t="s">
        <v>23</v>
      </c>
      <c r="F109" s="69" t="s">
        <v>77</v>
      </c>
      <c r="G109" s="69" t="s">
        <v>284</v>
      </c>
      <c r="H109" s="69" t="s">
        <v>38</v>
      </c>
      <c r="I109" s="69" t="s">
        <v>16</v>
      </c>
      <c r="J109" s="69" t="s">
        <v>91</v>
      </c>
      <c r="K109" s="233">
        <v>0</v>
      </c>
      <c r="L109" s="391"/>
      <c r="M109" s="391"/>
      <c r="N109" s="391"/>
      <c r="O109" s="391"/>
      <c r="P109" s="393"/>
      <c r="Q109" s="391">
        <f>R109+S109+T109</f>
        <v>436320</v>
      </c>
      <c r="R109" s="391">
        <v>299700</v>
      </c>
      <c r="S109" s="391">
        <v>109080</v>
      </c>
      <c r="T109" s="391">
        <v>27540</v>
      </c>
      <c r="U109" s="391"/>
      <c r="V109" s="391"/>
      <c r="W109" s="391"/>
      <c r="AB109" s="395">
        <f t="shared" si="17"/>
        <v>0</v>
      </c>
      <c r="AG109" s="395">
        <f t="shared" si="18"/>
        <v>0</v>
      </c>
    </row>
    <row r="110" spans="1:33" ht="24">
      <c r="A110" s="325"/>
      <c r="B110" s="135" t="s">
        <v>353</v>
      </c>
      <c r="C110" s="69" t="s">
        <v>14</v>
      </c>
      <c r="D110" s="69" t="s">
        <v>89</v>
      </c>
      <c r="E110" s="69" t="s">
        <v>55</v>
      </c>
      <c r="F110" s="69" t="s">
        <v>38</v>
      </c>
      <c r="G110" s="69" t="s">
        <v>14</v>
      </c>
      <c r="H110" s="69" t="s">
        <v>38</v>
      </c>
      <c r="I110" s="69" t="s">
        <v>16</v>
      </c>
      <c r="J110" s="69" t="s">
        <v>86</v>
      </c>
      <c r="K110" s="249">
        <v>4059</v>
      </c>
      <c r="L110" s="391"/>
      <c r="M110" s="391"/>
      <c r="N110" s="391"/>
      <c r="O110" s="391"/>
      <c r="P110" s="393"/>
      <c r="Q110" s="391"/>
      <c r="R110" s="391"/>
      <c r="S110" s="391"/>
      <c r="T110" s="391"/>
      <c r="U110" s="391"/>
      <c r="V110" s="391"/>
      <c r="W110" s="391"/>
      <c r="AB110" s="395">
        <f t="shared" si="17"/>
        <v>0</v>
      </c>
      <c r="AG110" s="395">
        <f t="shared" si="18"/>
        <v>0</v>
      </c>
    </row>
    <row r="111" spans="1:33" ht="27" customHeight="1" hidden="1">
      <c r="A111" s="236" t="s">
        <v>98</v>
      </c>
      <c r="B111" s="330" t="s">
        <v>167</v>
      </c>
      <c r="C111" s="69" t="s">
        <v>14</v>
      </c>
      <c r="D111" s="69" t="s">
        <v>99</v>
      </c>
      <c r="E111" s="69" t="s">
        <v>15</v>
      </c>
      <c r="F111" s="69" t="s">
        <v>15</v>
      </c>
      <c r="G111" s="69" t="s">
        <v>14</v>
      </c>
      <c r="H111" s="69" t="s">
        <v>15</v>
      </c>
      <c r="I111" s="69" t="s">
        <v>16</v>
      </c>
      <c r="J111" s="69" t="s">
        <v>14</v>
      </c>
      <c r="K111" s="249">
        <f>K113+K115</f>
        <v>0</v>
      </c>
      <c r="L111" s="249">
        <f aca="true" t="shared" si="19" ref="L111:W111">L113+L115</f>
        <v>3303.4</v>
      </c>
      <c r="M111" s="249">
        <f t="shared" si="19"/>
        <v>3303.5</v>
      </c>
      <c r="N111" s="249">
        <f t="shared" si="19"/>
        <v>3303.5</v>
      </c>
      <c r="O111" s="249">
        <f t="shared" si="19"/>
        <v>3303.6</v>
      </c>
      <c r="P111" s="249">
        <f t="shared" si="19"/>
        <v>13214</v>
      </c>
      <c r="Q111" s="249">
        <f t="shared" si="19"/>
        <v>0</v>
      </c>
      <c r="R111" s="249">
        <f t="shared" si="19"/>
        <v>0</v>
      </c>
      <c r="S111" s="249">
        <f t="shared" si="19"/>
        <v>0</v>
      </c>
      <c r="T111" s="249">
        <f t="shared" si="19"/>
        <v>0</v>
      </c>
      <c r="U111" s="249">
        <f t="shared" si="19"/>
        <v>0</v>
      </c>
      <c r="V111" s="249">
        <f t="shared" si="19"/>
        <v>18826</v>
      </c>
      <c r="W111" s="249">
        <f t="shared" si="19"/>
        <v>17193</v>
      </c>
      <c r="AB111" s="395">
        <f t="shared" si="17"/>
        <v>0</v>
      </c>
      <c r="AG111" s="395">
        <f t="shared" si="18"/>
        <v>0</v>
      </c>
    </row>
    <row r="112" spans="1:33" ht="12.75" hidden="1">
      <c r="A112" s="236" t="s">
        <v>17</v>
      </c>
      <c r="B112" s="105" t="s">
        <v>100</v>
      </c>
      <c r="C112" s="44" t="s">
        <v>14</v>
      </c>
      <c r="D112" s="44" t="s">
        <v>99</v>
      </c>
      <c r="E112" s="44" t="s">
        <v>23</v>
      </c>
      <c r="F112" s="44" t="s">
        <v>15</v>
      </c>
      <c r="G112" s="44" t="s">
        <v>14</v>
      </c>
      <c r="H112" s="44" t="s">
        <v>15</v>
      </c>
      <c r="I112" s="44" t="s">
        <v>16</v>
      </c>
      <c r="J112" s="44" t="s">
        <v>101</v>
      </c>
      <c r="K112" s="252">
        <f>K113</f>
        <v>0</v>
      </c>
      <c r="L112" s="252">
        <f aca="true" t="shared" si="20" ref="L112:W112">L113</f>
        <v>2828.3</v>
      </c>
      <c r="M112" s="252">
        <f t="shared" si="20"/>
        <v>2828.4</v>
      </c>
      <c r="N112" s="252">
        <f t="shared" si="20"/>
        <v>2828.4</v>
      </c>
      <c r="O112" s="252">
        <f t="shared" si="20"/>
        <v>2828.4</v>
      </c>
      <c r="P112" s="252">
        <f t="shared" si="20"/>
        <v>11313.5</v>
      </c>
      <c r="Q112" s="252">
        <f t="shared" si="20"/>
        <v>0</v>
      </c>
      <c r="R112" s="252">
        <f t="shared" si="20"/>
        <v>0</v>
      </c>
      <c r="S112" s="252">
        <f t="shared" si="20"/>
        <v>0</v>
      </c>
      <c r="T112" s="252">
        <f t="shared" si="20"/>
        <v>0</v>
      </c>
      <c r="U112" s="252">
        <f t="shared" si="20"/>
        <v>0</v>
      </c>
      <c r="V112" s="252">
        <f t="shared" si="20"/>
        <v>15957</v>
      </c>
      <c r="W112" s="252">
        <f t="shared" si="20"/>
        <v>12816</v>
      </c>
      <c r="AB112" s="395">
        <f t="shared" si="17"/>
        <v>0</v>
      </c>
      <c r="AG112" s="395">
        <f t="shared" si="18"/>
        <v>0</v>
      </c>
    </row>
    <row r="113" spans="1:33" ht="24" hidden="1">
      <c r="A113" s="41" t="s">
        <v>102</v>
      </c>
      <c r="B113" s="137" t="s">
        <v>261</v>
      </c>
      <c r="C113" s="46" t="s">
        <v>270</v>
      </c>
      <c r="D113" s="46" t="s">
        <v>99</v>
      </c>
      <c r="E113" s="46" t="s">
        <v>23</v>
      </c>
      <c r="F113" s="46" t="s">
        <v>20</v>
      </c>
      <c r="G113" s="46" t="s">
        <v>159</v>
      </c>
      <c r="H113" s="46" t="s">
        <v>38</v>
      </c>
      <c r="I113" s="46" t="s">
        <v>16</v>
      </c>
      <c r="J113" s="46" t="s">
        <v>101</v>
      </c>
      <c r="K113" s="251"/>
      <c r="L113" s="391">
        <v>2828.3</v>
      </c>
      <c r="M113" s="391">
        <v>2828.4</v>
      </c>
      <c r="N113" s="391">
        <v>2828.4</v>
      </c>
      <c r="O113" s="391">
        <v>2828.4</v>
      </c>
      <c r="P113" s="393">
        <f t="shared" si="16"/>
        <v>11313.5</v>
      </c>
      <c r="Q113" s="391"/>
      <c r="R113" s="391"/>
      <c r="S113" s="391"/>
      <c r="T113" s="391"/>
      <c r="U113" s="391"/>
      <c r="V113" s="391">
        <v>15957</v>
      </c>
      <c r="W113" s="391">
        <v>12816</v>
      </c>
      <c r="AB113" s="395">
        <f t="shared" si="17"/>
        <v>0</v>
      </c>
      <c r="AG113" s="395">
        <f t="shared" si="18"/>
        <v>0</v>
      </c>
    </row>
    <row r="114" spans="1:33" ht="24" hidden="1">
      <c r="A114" s="236" t="s">
        <v>36</v>
      </c>
      <c r="B114" s="331" t="s">
        <v>103</v>
      </c>
      <c r="C114" s="69" t="s">
        <v>14</v>
      </c>
      <c r="D114" s="69" t="s">
        <v>99</v>
      </c>
      <c r="E114" s="69" t="s">
        <v>42</v>
      </c>
      <c r="F114" s="69" t="s">
        <v>15</v>
      </c>
      <c r="G114" s="69" t="s">
        <v>14</v>
      </c>
      <c r="H114" s="69" t="s">
        <v>15</v>
      </c>
      <c r="I114" s="69" t="s">
        <v>16</v>
      </c>
      <c r="J114" s="69" t="s">
        <v>86</v>
      </c>
      <c r="K114" s="252">
        <f>K115</f>
        <v>0</v>
      </c>
      <c r="L114" s="252">
        <f aca="true" t="shared" si="21" ref="L114:W114">L115</f>
        <v>475.1</v>
      </c>
      <c r="M114" s="252">
        <f t="shared" si="21"/>
        <v>475.1</v>
      </c>
      <c r="N114" s="252">
        <f t="shared" si="21"/>
        <v>475.1</v>
      </c>
      <c r="O114" s="252">
        <f t="shared" si="21"/>
        <v>475.2</v>
      </c>
      <c r="P114" s="252">
        <f t="shared" si="21"/>
        <v>1900.5000000000002</v>
      </c>
      <c r="Q114" s="252">
        <f t="shared" si="21"/>
        <v>0</v>
      </c>
      <c r="R114" s="252">
        <f t="shared" si="21"/>
        <v>0</v>
      </c>
      <c r="S114" s="252">
        <f t="shared" si="21"/>
        <v>0</v>
      </c>
      <c r="T114" s="252">
        <f t="shared" si="21"/>
        <v>0</v>
      </c>
      <c r="U114" s="252">
        <f t="shared" si="21"/>
        <v>0</v>
      </c>
      <c r="V114" s="252">
        <f t="shared" si="21"/>
        <v>2869</v>
      </c>
      <c r="W114" s="252">
        <f t="shared" si="21"/>
        <v>4377</v>
      </c>
      <c r="AB114" s="395">
        <f t="shared" si="17"/>
        <v>0</v>
      </c>
      <c r="AG114" s="395">
        <f t="shared" si="18"/>
        <v>0</v>
      </c>
    </row>
    <row r="115" spans="1:33" ht="24" hidden="1">
      <c r="A115" s="325" t="s">
        <v>39</v>
      </c>
      <c r="B115" s="332" t="s">
        <v>262</v>
      </c>
      <c r="C115" s="373" t="s">
        <v>270</v>
      </c>
      <c r="D115" s="373" t="s">
        <v>99</v>
      </c>
      <c r="E115" s="373" t="s">
        <v>42</v>
      </c>
      <c r="F115" s="373" t="s">
        <v>23</v>
      </c>
      <c r="G115" s="373" t="s">
        <v>159</v>
      </c>
      <c r="H115" s="373" t="s">
        <v>38</v>
      </c>
      <c r="I115" s="373" t="s">
        <v>16</v>
      </c>
      <c r="J115" s="373" t="s">
        <v>86</v>
      </c>
      <c r="K115" s="251"/>
      <c r="L115" s="391">
        <v>475.1</v>
      </c>
      <c r="M115" s="391">
        <v>475.1</v>
      </c>
      <c r="N115" s="391">
        <v>475.1</v>
      </c>
      <c r="O115" s="391">
        <v>475.2</v>
      </c>
      <c r="P115" s="393">
        <f t="shared" si="16"/>
        <v>1900.5000000000002</v>
      </c>
      <c r="Q115" s="391"/>
      <c r="R115" s="391"/>
      <c r="S115" s="391"/>
      <c r="T115" s="391"/>
      <c r="U115" s="391"/>
      <c r="V115" s="391">
        <v>2869</v>
      </c>
      <c r="W115" s="391">
        <v>4377</v>
      </c>
      <c r="AB115" s="395">
        <f t="shared" si="17"/>
        <v>0</v>
      </c>
      <c r="AG115" s="395">
        <f t="shared" si="18"/>
        <v>0</v>
      </c>
    </row>
    <row r="116" spans="1:33" ht="12.75">
      <c r="A116" s="333"/>
      <c r="B116" s="330" t="s">
        <v>104</v>
      </c>
      <c r="C116" s="44"/>
      <c r="D116" s="44"/>
      <c r="E116" s="44"/>
      <c r="F116" s="44"/>
      <c r="G116" s="44"/>
      <c r="H116" s="44"/>
      <c r="I116" s="44"/>
      <c r="J116" s="44"/>
      <c r="K116" s="249">
        <f aca="true" t="shared" si="22" ref="K116:W116">K22+K64+K111</f>
        <v>378861</v>
      </c>
      <c r="L116" s="249" t="e">
        <f t="shared" si="22"/>
        <v>#REF!</v>
      </c>
      <c r="M116" s="249" t="e">
        <f t="shared" si="22"/>
        <v>#REF!</v>
      </c>
      <c r="N116" s="249" t="e">
        <f t="shared" si="22"/>
        <v>#REF!</v>
      </c>
      <c r="O116" s="249" t="e">
        <f t="shared" si="22"/>
        <v>#REF!</v>
      </c>
      <c r="P116" s="249" t="e">
        <f t="shared" si="22"/>
        <v>#REF!</v>
      </c>
      <c r="Q116" s="249" t="e">
        <f t="shared" si="22"/>
        <v>#REF!</v>
      </c>
      <c r="R116" s="249" t="e">
        <f t="shared" si="22"/>
        <v>#REF!</v>
      </c>
      <c r="S116" s="249" t="e">
        <f t="shared" si="22"/>
        <v>#REF!</v>
      </c>
      <c r="T116" s="249" t="e">
        <f t="shared" si="22"/>
        <v>#REF!</v>
      </c>
      <c r="U116" s="249" t="e">
        <f t="shared" si="22"/>
        <v>#REF!</v>
      </c>
      <c r="V116" s="249" t="e">
        <f t="shared" si="22"/>
        <v>#REF!</v>
      </c>
      <c r="W116" s="249" t="e">
        <f t="shared" si="22"/>
        <v>#REF!</v>
      </c>
      <c r="AB116" s="395">
        <f t="shared" si="17"/>
        <v>0</v>
      </c>
      <c r="AG116" s="395">
        <f t="shared" si="18"/>
        <v>0</v>
      </c>
    </row>
  </sheetData>
  <mergeCells count="6">
    <mergeCell ref="C20:J20"/>
    <mergeCell ref="G3:K3"/>
    <mergeCell ref="G4:K6"/>
    <mergeCell ref="A11:W11"/>
    <mergeCell ref="C15:J19"/>
    <mergeCell ref="B12:K12"/>
  </mergeCells>
  <printOptions/>
  <pageMargins left="0.75" right="0.75" top="1" bottom="1" header="0.5" footer="0.5"/>
  <pageSetup horizontalDpi="600" verticalDpi="600" orientation="landscape" paperSize="9" scale="98" r:id="rId1"/>
  <rowBreaks count="1" manualBreakCount="1">
    <brk id="78" max="3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114"/>
  <sheetViews>
    <sheetView workbookViewId="0" topLeftCell="A40">
      <pane xSplit="9120" topLeftCell="K1" activePane="topLeft" state="split"/>
      <selection pane="topLeft" activeCell="B62" sqref="B62"/>
      <selection pane="topRight" activeCell="P25" sqref="P25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  <col min="31" max="31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128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9"/>
      <c r="AC16" s="179"/>
      <c r="AD16" s="179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79"/>
      <c r="AC20" s="179"/>
      <c r="AD20" s="179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79"/>
      <c r="AC21" s="179"/>
      <c r="AD21" s="179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1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K24+K31+K35+K39+K42+K48+K56+K65+K66+K62</f>
        <v>40691</v>
      </c>
      <c r="L23" s="102">
        <f>L24+L31+L35+L39+L42+L48+L56+L65+L66+L62</f>
        <v>22032</v>
      </c>
      <c r="M23" s="102">
        <f>M24+M31+M35+M39+M42+M48+M56+M65+M66+M62</f>
        <v>18794</v>
      </c>
      <c r="N23" s="102">
        <f>N24+N31+N35+N39+N42+N48+N56+N65+N66+N62</f>
        <v>19249</v>
      </c>
      <c r="O23" s="215">
        <f>O24+O31+O35+O39+O42+O48+O56+O65+O66+O62</f>
        <v>7362</v>
      </c>
      <c r="P23" s="102">
        <f aca="true" t="shared" si="0" ref="P23:AD23">P24+P31+P35+P39+P42+P48+P56+P65+P66+P62</f>
        <v>2316</v>
      </c>
      <c r="Q23" s="102">
        <f t="shared" si="0"/>
        <v>2548</v>
      </c>
      <c r="R23" s="102">
        <f t="shared" si="0"/>
        <v>2498</v>
      </c>
      <c r="S23" s="215">
        <f t="shared" si="0"/>
        <v>7699</v>
      </c>
      <c r="T23" s="102">
        <f t="shared" si="0"/>
        <v>3162</v>
      </c>
      <c r="U23" s="102">
        <f t="shared" si="0"/>
        <v>2252</v>
      </c>
      <c r="V23" s="102">
        <f t="shared" si="0"/>
        <v>2285</v>
      </c>
      <c r="W23" s="215">
        <f t="shared" si="0"/>
        <v>11327</v>
      </c>
      <c r="X23" s="102">
        <f t="shared" si="0"/>
        <v>4381</v>
      </c>
      <c r="Y23" s="102">
        <f t="shared" si="0"/>
        <v>3415</v>
      </c>
      <c r="Z23" s="102">
        <f t="shared" si="0"/>
        <v>3321</v>
      </c>
      <c r="AA23" s="215">
        <f t="shared" si="0"/>
        <v>14303</v>
      </c>
      <c r="AB23" s="102">
        <f t="shared" si="0"/>
        <v>4377</v>
      </c>
      <c r="AC23" s="102">
        <f t="shared" si="0"/>
        <v>4837</v>
      </c>
      <c r="AD23" s="102">
        <f t="shared" si="0"/>
        <v>4780</v>
      </c>
      <c r="AE23" s="209">
        <f>SUM(O23:AA23)</f>
        <v>66869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305">
        <f>K25</f>
        <v>28191</v>
      </c>
      <c r="L24" s="45">
        <f>L25</f>
        <v>18794</v>
      </c>
      <c r="M24" s="45">
        <f>M25</f>
        <v>18794</v>
      </c>
      <c r="N24" s="45">
        <f>N25</f>
        <v>18794</v>
      </c>
      <c r="O24" s="216">
        <f>O25</f>
        <v>4698</v>
      </c>
      <c r="P24" s="45">
        <f aca="true" t="shared" si="1" ref="P24:AD24">P25</f>
        <v>939</v>
      </c>
      <c r="Q24" s="45">
        <f t="shared" si="1"/>
        <v>1879</v>
      </c>
      <c r="R24" s="45">
        <f t="shared" si="1"/>
        <v>1880</v>
      </c>
      <c r="S24" s="216">
        <f t="shared" si="1"/>
        <v>4699</v>
      </c>
      <c r="T24" s="45">
        <f t="shared" si="1"/>
        <v>1565</v>
      </c>
      <c r="U24" s="45">
        <f t="shared" si="1"/>
        <v>1565</v>
      </c>
      <c r="V24" s="45">
        <f t="shared" si="1"/>
        <v>1569</v>
      </c>
      <c r="W24" s="216">
        <f t="shared" si="1"/>
        <v>8103</v>
      </c>
      <c r="X24" s="45">
        <f t="shared" si="1"/>
        <v>2699</v>
      </c>
      <c r="Y24" s="45">
        <f t="shared" si="1"/>
        <v>2700</v>
      </c>
      <c r="Z24" s="45">
        <f t="shared" si="1"/>
        <v>2704</v>
      </c>
      <c r="AA24" s="216">
        <f t="shared" si="1"/>
        <v>10691</v>
      </c>
      <c r="AB24" s="45">
        <f t="shared" si="1"/>
        <v>2699</v>
      </c>
      <c r="AC24" s="45">
        <f t="shared" si="1"/>
        <v>3989</v>
      </c>
      <c r="AD24" s="45">
        <f t="shared" si="1"/>
        <v>4034</v>
      </c>
      <c r="AE24" s="209">
        <f aca="true" t="shared" si="2" ref="AE24:AE96">SUM(O24:AA24)</f>
        <v>45691</v>
      </c>
    </row>
    <row r="25" spans="1:31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28191</v>
      </c>
      <c r="L25" s="45">
        <f>L26+L27+L30</f>
        <v>18794</v>
      </c>
      <c r="M25" s="45">
        <f>M26+M27+M30</f>
        <v>18794</v>
      </c>
      <c r="N25" s="45">
        <f>N26+N27+N30</f>
        <v>18794</v>
      </c>
      <c r="O25" s="216">
        <f>O26+O27+O30</f>
        <v>4698</v>
      </c>
      <c r="P25" s="45">
        <f aca="true" t="shared" si="3" ref="P25:AD25">P26+P27+P30</f>
        <v>939</v>
      </c>
      <c r="Q25" s="45">
        <f t="shared" si="3"/>
        <v>1879</v>
      </c>
      <c r="R25" s="45">
        <f t="shared" si="3"/>
        <v>1880</v>
      </c>
      <c r="S25" s="216">
        <f t="shared" si="3"/>
        <v>4699</v>
      </c>
      <c r="T25" s="45">
        <f t="shared" si="3"/>
        <v>1565</v>
      </c>
      <c r="U25" s="45">
        <f t="shared" si="3"/>
        <v>1565</v>
      </c>
      <c r="V25" s="45">
        <f t="shared" si="3"/>
        <v>1569</v>
      </c>
      <c r="W25" s="216">
        <f t="shared" si="3"/>
        <v>8103</v>
      </c>
      <c r="X25" s="45">
        <f t="shared" si="3"/>
        <v>2699</v>
      </c>
      <c r="Y25" s="45">
        <f t="shared" si="3"/>
        <v>2700</v>
      </c>
      <c r="Z25" s="45">
        <f t="shared" si="3"/>
        <v>2704</v>
      </c>
      <c r="AA25" s="216">
        <f t="shared" si="3"/>
        <v>10691</v>
      </c>
      <c r="AB25" s="45">
        <f t="shared" si="3"/>
        <v>2699</v>
      </c>
      <c r="AC25" s="45">
        <f t="shared" si="3"/>
        <v>3989</v>
      </c>
      <c r="AD25" s="45">
        <f t="shared" si="3"/>
        <v>4034</v>
      </c>
      <c r="AE25" s="209">
        <f t="shared" si="2"/>
        <v>45691</v>
      </c>
    </row>
    <row r="26" spans="1:31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37"/>
      <c r="AB26" s="184"/>
      <c r="AC26" s="184"/>
      <c r="AD26" s="184"/>
      <c r="AE26" s="248">
        <f t="shared" si="2"/>
        <v>0</v>
      </c>
    </row>
    <row r="27" spans="1:31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28191</v>
      </c>
      <c r="L27" s="47">
        <f aca="true" t="shared" si="4" ref="L27:AD27">L28+L29</f>
        <v>18794</v>
      </c>
      <c r="M27" s="47">
        <f t="shared" si="4"/>
        <v>18794</v>
      </c>
      <c r="N27" s="47">
        <f t="shared" si="4"/>
        <v>18794</v>
      </c>
      <c r="O27" s="217">
        <f t="shared" si="4"/>
        <v>4698</v>
      </c>
      <c r="P27" s="47">
        <f t="shared" si="4"/>
        <v>939</v>
      </c>
      <c r="Q27" s="47">
        <f t="shared" si="4"/>
        <v>1879</v>
      </c>
      <c r="R27" s="47">
        <f t="shared" si="4"/>
        <v>1880</v>
      </c>
      <c r="S27" s="217">
        <f t="shared" si="4"/>
        <v>4699</v>
      </c>
      <c r="T27" s="47">
        <f t="shared" si="4"/>
        <v>1565</v>
      </c>
      <c r="U27" s="47">
        <f t="shared" si="4"/>
        <v>1565</v>
      </c>
      <c r="V27" s="47">
        <f t="shared" si="4"/>
        <v>1569</v>
      </c>
      <c r="W27" s="217">
        <f t="shared" si="4"/>
        <v>8103</v>
      </c>
      <c r="X27" s="47">
        <f t="shared" si="4"/>
        <v>2699</v>
      </c>
      <c r="Y27" s="47">
        <f t="shared" si="4"/>
        <v>2700</v>
      </c>
      <c r="Z27" s="47">
        <f t="shared" si="4"/>
        <v>2704</v>
      </c>
      <c r="AA27" s="238">
        <f t="shared" si="4"/>
        <v>10691</v>
      </c>
      <c r="AB27" s="64">
        <f t="shared" si="4"/>
        <v>2699</v>
      </c>
      <c r="AC27" s="64">
        <f t="shared" si="4"/>
        <v>3989</v>
      </c>
      <c r="AD27" s="64">
        <f t="shared" si="4"/>
        <v>4034</v>
      </c>
      <c r="AE27" s="248">
        <f t="shared" si="2"/>
        <v>45691</v>
      </c>
    </row>
    <row r="28" spans="1:31" ht="63.7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26966-8252+6300+100-93+509+2581</f>
        <v>28111</v>
      </c>
      <c r="L28" s="47">
        <f>26966-8252</f>
        <v>18714</v>
      </c>
      <c r="M28" s="47">
        <f>26966-8252</f>
        <v>18714</v>
      </c>
      <c r="N28" s="47">
        <f>26966-8252</f>
        <v>18714</v>
      </c>
      <c r="O28" s="217">
        <v>4678</v>
      </c>
      <c r="P28" s="47">
        <v>935</v>
      </c>
      <c r="Q28" s="47">
        <v>1871</v>
      </c>
      <c r="R28" s="47">
        <v>1872</v>
      </c>
      <c r="S28" s="217">
        <v>4679</v>
      </c>
      <c r="T28" s="47">
        <v>1559</v>
      </c>
      <c r="U28" s="47">
        <v>1559</v>
      </c>
      <c r="V28" s="47">
        <v>1561</v>
      </c>
      <c r="W28" s="217">
        <f>4679+3150+254</f>
        <v>8083</v>
      </c>
      <c r="X28" s="47">
        <f>1559+1050+84</f>
        <v>2693</v>
      </c>
      <c r="Y28" s="47">
        <f>1559+1050+84+1</f>
        <v>2694</v>
      </c>
      <c r="Z28" s="47">
        <f>1561+1050+84+1</f>
        <v>2696</v>
      </c>
      <c r="AA28" s="238">
        <f>4678+3150+100-93+255+2581</f>
        <v>10671</v>
      </c>
      <c r="AB28" s="64">
        <f>1559+1050+30-31+85</f>
        <v>2693</v>
      </c>
      <c r="AC28" s="64">
        <f>1559+1050+30-31+85+1290</f>
        <v>3983</v>
      </c>
      <c r="AD28" s="64">
        <f>1560+1050+40+85+1291</f>
        <v>4026</v>
      </c>
      <c r="AE28" s="248">
        <f>SUM(O28:AD28)</f>
        <v>56253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80</v>
      </c>
      <c r="L29" s="47">
        <v>80</v>
      </c>
      <c r="M29" s="47">
        <v>80</v>
      </c>
      <c r="N29" s="190">
        <v>80</v>
      </c>
      <c r="O29" s="218">
        <v>20</v>
      </c>
      <c r="P29" s="64">
        <v>4</v>
      </c>
      <c r="Q29" s="64">
        <v>8</v>
      </c>
      <c r="R29" s="64">
        <v>8</v>
      </c>
      <c r="S29" s="218">
        <v>20</v>
      </c>
      <c r="T29" s="64">
        <v>6</v>
      </c>
      <c r="U29" s="64">
        <v>6</v>
      </c>
      <c r="V29" s="64">
        <v>8</v>
      </c>
      <c r="W29" s="218">
        <v>20</v>
      </c>
      <c r="X29" s="64">
        <v>6</v>
      </c>
      <c r="Y29" s="64">
        <v>6</v>
      </c>
      <c r="Z29" s="64">
        <v>8</v>
      </c>
      <c r="AA29" s="238">
        <v>20</v>
      </c>
      <c r="AB29" s="64">
        <v>6</v>
      </c>
      <c r="AC29" s="64">
        <v>6</v>
      </c>
      <c r="AD29" s="64">
        <v>8</v>
      </c>
      <c r="AE29" s="248">
        <f t="shared" si="2"/>
        <v>140</v>
      </c>
    </row>
    <row r="30" spans="1:31" ht="36.75" customHeight="1" hidden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37"/>
      <c r="AB30" s="184"/>
      <c r="AC30" s="184"/>
      <c r="AD30" s="184"/>
      <c r="AE30" s="248">
        <f t="shared" si="2"/>
        <v>0</v>
      </c>
    </row>
    <row r="31" spans="1:31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306">
        <f>K32+K33+K34</f>
        <v>7000</v>
      </c>
      <c r="L31" s="306">
        <f aca="true" t="shared" si="5" ref="L31:AD31">L32+L33+L34</f>
        <v>2029</v>
      </c>
      <c r="M31" s="306">
        <f t="shared" si="5"/>
        <v>0</v>
      </c>
      <c r="N31" s="306">
        <f t="shared" si="5"/>
        <v>400</v>
      </c>
      <c r="O31" s="306">
        <f t="shared" si="5"/>
        <v>1700</v>
      </c>
      <c r="P31" s="306">
        <f t="shared" si="5"/>
        <v>1190</v>
      </c>
      <c r="Q31" s="306">
        <f t="shared" si="5"/>
        <v>340</v>
      </c>
      <c r="R31" s="306">
        <f t="shared" si="5"/>
        <v>170</v>
      </c>
      <c r="S31" s="306">
        <f t="shared" si="5"/>
        <v>1700</v>
      </c>
      <c r="T31" s="306">
        <f t="shared" si="5"/>
        <v>1190</v>
      </c>
      <c r="U31" s="306">
        <f t="shared" si="5"/>
        <v>340</v>
      </c>
      <c r="V31" s="306">
        <f t="shared" si="5"/>
        <v>170</v>
      </c>
      <c r="W31" s="306">
        <f t="shared" si="5"/>
        <v>1830</v>
      </c>
      <c r="X31" s="306">
        <f t="shared" si="5"/>
        <v>1320</v>
      </c>
      <c r="Y31" s="306">
        <f t="shared" si="5"/>
        <v>340</v>
      </c>
      <c r="Z31" s="306">
        <f t="shared" si="5"/>
        <v>170</v>
      </c>
      <c r="AA31" s="306">
        <f t="shared" si="5"/>
        <v>1770</v>
      </c>
      <c r="AB31" s="306">
        <f t="shared" si="5"/>
        <v>1213</v>
      </c>
      <c r="AC31" s="306">
        <f t="shared" si="5"/>
        <v>363</v>
      </c>
      <c r="AD31" s="306">
        <f t="shared" si="5"/>
        <v>194</v>
      </c>
      <c r="AE31" s="248">
        <f t="shared" si="2"/>
        <v>12230</v>
      </c>
    </row>
    <row r="32" spans="1:31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6800</v>
      </c>
      <c r="N32" s="104">
        <v>400</v>
      </c>
      <c r="O32" s="214">
        <f>6800/4</f>
        <v>1700</v>
      </c>
      <c r="P32" s="184">
        <v>1190</v>
      </c>
      <c r="Q32" s="184">
        <v>340</v>
      </c>
      <c r="R32" s="184">
        <v>170</v>
      </c>
      <c r="S32" s="214">
        <v>1700</v>
      </c>
      <c r="T32" s="184">
        <v>1190</v>
      </c>
      <c r="U32" s="184">
        <v>340</v>
      </c>
      <c r="V32" s="184">
        <v>170</v>
      </c>
      <c r="W32" s="214">
        <v>1700</v>
      </c>
      <c r="X32" s="184">
        <v>1190</v>
      </c>
      <c r="Y32" s="184">
        <v>340</v>
      </c>
      <c r="Z32" s="184">
        <v>170</v>
      </c>
      <c r="AA32" s="237">
        <v>1700</v>
      </c>
      <c r="AB32" s="184">
        <v>1190</v>
      </c>
      <c r="AC32" s="184">
        <v>340</v>
      </c>
      <c r="AD32" s="184">
        <v>170</v>
      </c>
      <c r="AE32" s="248">
        <f t="shared" si="2"/>
        <v>11900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L33" s="111">
        <v>2029</v>
      </c>
      <c r="N33" s="104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37"/>
      <c r="AB33" s="184"/>
      <c r="AC33" s="184"/>
      <c r="AD33" s="184"/>
      <c r="AE33" s="248">
        <f t="shared" si="2"/>
        <v>0</v>
      </c>
    </row>
    <row r="34" spans="1:31" ht="13.5" thickBot="1">
      <c r="A34" s="85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8" t="s">
        <v>24</v>
      </c>
      <c r="K34" s="66">
        <v>200</v>
      </c>
      <c r="L34" s="111"/>
      <c r="N34" s="104"/>
      <c r="O34" s="232"/>
      <c r="P34" s="181"/>
      <c r="Q34" s="181"/>
      <c r="R34" s="181"/>
      <c r="S34" s="232"/>
      <c r="T34" s="181"/>
      <c r="U34" s="181"/>
      <c r="V34" s="181"/>
      <c r="W34" s="232">
        <v>130</v>
      </c>
      <c r="X34" s="181">
        <v>130</v>
      </c>
      <c r="Y34" s="181"/>
      <c r="Z34" s="181"/>
      <c r="AA34" s="232">
        <v>70</v>
      </c>
      <c r="AB34" s="184">
        <v>23</v>
      </c>
      <c r="AC34" s="184">
        <v>23</v>
      </c>
      <c r="AD34" s="184">
        <v>24</v>
      </c>
      <c r="AE34" s="248"/>
    </row>
    <row r="35" spans="1:31" ht="12.75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42" t="s">
        <v>14</v>
      </c>
      <c r="K35" s="43">
        <f>K36+K37+K38</f>
        <v>0</v>
      </c>
      <c r="L35" s="43">
        <f>L36+L37+L38</f>
        <v>0</v>
      </c>
      <c r="M35" s="43">
        <f>M36+M37+M38</f>
        <v>0</v>
      </c>
      <c r="N35" s="43">
        <f>N36+N37+N38</f>
        <v>0</v>
      </c>
      <c r="O35" s="219">
        <f>O36+O37+O38</f>
        <v>0</v>
      </c>
      <c r="P35" s="43">
        <f aca="true" t="shared" si="6" ref="P35:AD35">P36+P37+P38</f>
        <v>0</v>
      </c>
      <c r="Q35" s="43">
        <f t="shared" si="6"/>
        <v>0</v>
      </c>
      <c r="R35" s="43">
        <f t="shared" si="6"/>
        <v>0</v>
      </c>
      <c r="S35" s="219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219">
        <f t="shared" si="6"/>
        <v>0</v>
      </c>
      <c r="X35" s="43">
        <f t="shared" si="6"/>
        <v>0</v>
      </c>
      <c r="Y35" s="43">
        <f t="shared" si="6"/>
        <v>0</v>
      </c>
      <c r="Z35" s="43">
        <f t="shared" si="6"/>
        <v>0</v>
      </c>
      <c r="AA35" s="239">
        <f t="shared" si="6"/>
        <v>0</v>
      </c>
      <c r="AB35" s="249">
        <f t="shared" si="6"/>
        <v>0</v>
      </c>
      <c r="AC35" s="249">
        <f t="shared" si="6"/>
        <v>0</v>
      </c>
      <c r="AD35" s="249">
        <f t="shared" si="6"/>
        <v>0</v>
      </c>
      <c r="AE35" s="248">
        <f t="shared" si="2"/>
        <v>0</v>
      </c>
    </row>
    <row r="36" spans="1:31" ht="12.75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37"/>
      <c r="AB36" s="184"/>
      <c r="AC36" s="184"/>
      <c r="AD36" s="184"/>
      <c r="AE36" s="248">
        <f t="shared" si="2"/>
        <v>0</v>
      </c>
    </row>
    <row r="37" spans="1:31" ht="12.75">
      <c r="A37" s="22"/>
      <c r="B37" s="77" t="s">
        <v>170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46" t="s">
        <v>24</v>
      </c>
      <c r="K37" s="47">
        <v>0</v>
      </c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37"/>
      <c r="AB37" s="184"/>
      <c r="AC37" s="184"/>
      <c r="AD37" s="184"/>
      <c r="AE37" s="248">
        <f t="shared" si="2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46" t="s">
        <v>24</v>
      </c>
      <c r="K38" s="47"/>
      <c r="O38" s="214"/>
      <c r="P38" s="184"/>
      <c r="Q38" s="184"/>
      <c r="R38" s="184"/>
      <c r="S38" s="214"/>
      <c r="T38" s="184"/>
      <c r="U38" s="184"/>
      <c r="V38" s="184"/>
      <c r="W38" s="214"/>
      <c r="X38" s="184"/>
      <c r="Y38" s="184"/>
      <c r="Z38" s="184"/>
      <c r="AA38" s="237"/>
      <c r="AB38" s="184"/>
      <c r="AC38" s="184"/>
      <c r="AD38" s="184"/>
      <c r="AE38" s="248">
        <f t="shared" si="2"/>
        <v>0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50" t="s">
        <v>14</v>
      </c>
      <c r="K39" s="100">
        <f>K40+K41</f>
        <v>2250</v>
      </c>
      <c r="L39" s="100">
        <f>L40+L41</f>
        <v>0</v>
      </c>
      <c r="M39" s="100">
        <f>M40+M41</f>
        <v>0</v>
      </c>
      <c r="N39" s="100">
        <f>N40+N41</f>
        <v>55</v>
      </c>
      <c r="O39" s="220">
        <f>O40+O41</f>
        <v>562</v>
      </c>
      <c r="P39" s="100">
        <f aca="true" t="shared" si="7" ref="P39:AD39">P40+P41</f>
        <v>187</v>
      </c>
      <c r="Q39" s="100">
        <f t="shared" si="7"/>
        <v>187</v>
      </c>
      <c r="R39" s="100">
        <f t="shared" si="7"/>
        <v>188</v>
      </c>
      <c r="S39" s="220">
        <f t="shared" si="7"/>
        <v>562</v>
      </c>
      <c r="T39" s="100">
        <f t="shared" si="7"/>
        <v>187</v>
      </c>
      <c r="U39" s="100">
        <f t="shared" si="7"/>
        <v>187</v>
      </c>
      <c r="V39" s="100">
        <f t="shared" si="7"/>
        <v>188</v>
      </c>
      <c r="W39" s="220">
        <f t="shared" si="7"/>
        <v>562</v>
      </c>
      <c r="X39" s="100">
        <f t="shared" si="7"/>
        <v>187</v>
      </c>
      <c r="Y39" s="100">
        <f t="shared" si="7"/>
        <v>187</v>
      </c>
      <c r="Z39" s="100">
        <f t="shared" si="7"/>
        <v>188</v>
      </c>
      <c r="AA39" s="240">
        <f t="shared" si="7"/>
        <v>564</v>
      </c>
      <c r="AB39" s="233">
        <f t="shared" si="7"/>
        <v>188</v>
      </c>
      <c r="AC39" s="233">
        <f t="shared" si="7"/>
        <v>188</v>
      </c>
      <c r="AD39" s="233">
        <f t="shared" si="7"/>
        <v>188</v>
      </c>
      <c r="AE39" s="248">
        <f t="shared" si="2"/>
        <v>3936</v>
      </c>
    </row>
    <row r="40" spans="1:31" ht="12.75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52" t="s">
        <v>24</v>
      </c>
      <c r="K40" s="53">
        <v>2250</v>
      </c>
      <c r="N40" s="104">
        <v>55</v>
      </c>
      <c r="O40" s="214">
        <v>562</v>
      </c>
      <c r="P40" s="184">
        <v>187</v>
      </c>
      <c r="Q40" s="184">
        <v>187</v>
      </c>
      <c r="R40" s="184">
        <v>188</v>
      </c>
      <c r="S40" s="214">
        <v>562</v>
      </c>
      <c r="T40" s="184">
        <v>187</v>
      </c>
      <c r="U40" s="184">
        <v>187</v>
      </c>
      <c r="V40" s="184">
        <v>188</v>
      </c>
      <c r="W40" s="214">
        <v>562</v>
      </c>
      <c r="X40" s="184">
        <v>187</v>
      </c>
      <c r="Y40" s="184">
        <v>187</v>
      </c>
      <c r="Z40" s="184">
        <v>188</v>
      </c>
      <c r="AA40" s="237">
        <v>564</v>
      </c>
      <c r="AB40" s="184">
        <v>188</v>
      </c>
      <c r="AC40" s="184">
        <v>188</v>
      </c>
      <c r="AD40" s="184">
        <v>188</v>
      </c>
      <c r="AE40" s="248">
        <f t="shared" si="2"/>
        <v>3936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54" t="s">
        <v>24</v>
      </c>
      <c r="K41" s="55"/>
      <c r="O41" s="214"/>
      <c r="P41" s="184"/>
      <c r="Q41" s="184"/>
      <c r="R41" s="184"/>
      <c r="S41" s="214"/>
      <c r="T41" s="184"/>
      <c r="U41" s="184"/>
      <c r="V41" s="184"/>
      <c r="W41" s="214"/>
      <c r="X41" s="184"/>
      <c r="Y41" s="184"/>
      <c r="Z41" s="184"/>
      <c r="AA41" s="237"/>
      <c r="AB41" s="184"/>
      <c r="AC41" s="184"/>
      <c r="AD41" s="184"/>
      <c r="AE41" s="248">
        <f t="shared" si="2"/>
        <v>0</v>
      </c>
    </row>
    <row r="42" spans="1:31" ht="12.75">
      <c r="A42" s="401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57" t="s">
        <v>14</v>
      </c>
      <c r="K42" s="58">
        <f>K44+K46+K47+K45</f>
        <v>0</v>
      </c>
      <c r="L42" s="58">
        <f>L44+L46+L47+L45</f>
        <v>5</v>
      </c>
      <c r="M42" s="58">
        <f>M44+M46+M47+M45</f>
        <v>0</v>
      </c>
      <c r="N42" s="58">
        <f>N44+N46+N47+N45</f>
        <v>0</v>
      </c>
      <c r="O42" s="221">
        <f>O44+O46+O47+O45</f>
        <v>0</v>
      </c>
      <c r="P42" s="58"/>
      <c r="Q42" s="58"/>
      <c r="R42" s="58"/>
      <c r="S42" s="221">
        <f>S44+S46+S47+S45</f>
        <v>0</v>
      </c>
      <c r="T42" s="58"/>
      <c r="U42" s="58"/>
      <c r="V42" s="58"/>
      <c r="W42" s="221">
        <f>W44+W46+W47+W45</f>
        <v>0</v>
      </c>
      <c r="X42" s="58"/>
      <c r="Y42" s="58"/>
      <c r="Z42" s="58"/>
      <c r="AA42" s="241">
        <f>AA44+AA46+AA47+AA45</f>
        <v>0</v>
      </c>
      <c r="AB42" s="64"/>
      <c r="AC42" s="64"/>
      <c r="AD42" s="64"/>
      <c r="AE42" s="248">
        <f t="shared" si="2"/>
        <v>0</v>
      </c>
    </row>
    <row r="43" spans="1:31" ht="13.5" thickBot="1">
      <c r="A43" s="402"/>
      <c r="B43" s="83" t="s">
        <v>59</v>
      </c>
      <c r="C43" s="59"/>
      <c r="D43" s="59"/>
      <c r="E43" s="59"/>
      <c r="F43" s="60"/>
      <c r="G43" s="60"/>
      <c r="H43" s="60"/>
      <c r="I43" s="60"/>
      <c r="J43" s="60"/>
      <c r="K43" s="61"/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37"/>
      <c r="AB43" s="184"/>
      <c r="AC43" s="184"/>
      <c r="AD43" s="184"/>
      <c r="AE43" s="248">
        <f t="shared" si="2"/>
        <v>0</v>
      </c>
    </row>
    <row r="44" spans="1:31" ht="12.75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62" t="s">
        <v>24</v>
      </c>
      <c r="K44" s="63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37"/>
      <c r="AB44" s="184"/>
      <c r="AC44" s="184"/>
      <c r="AD44" s="184"/>
      <c r="AE44" s="248">
        <f t="shared" si="2"/>
        <v>0</v>
      </c>
    </row>
    <row r="45" spans="1:31" ht="12.75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62" t="s">
        <v>24</v>
      </c>
      <c r="K45" s="96">
        <v>0</v>
      </c>
      <c r="L45">
        <v>5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37"/>
      <c r="AB45" s="184"/>
      <c r="AC45" s="184"/>
      <c r="AD45" s="184"/>
      <c r="AE45" s="248">
        <f t="shared" si="2"/>
        <v>0</v>
      </c>
    </row>
    <row r="46" spans="1:31" ht="12.75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46" t="s">
        <v>24</v>
      </c>
      <c r="K46" s="64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37"/>
      <c r="AB46" s="184"/>
      <c r="AC46" s="184"/>
      <c r="AD46" s="184"/>
      <c r="AE46" s="248">
        <f t="shared" si="2"/>
        <v>0</v>
      </c>
    </row>
    <row r="47" spans="1:31" ht="13.5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65" t="s">
        <v>24</v>
      </c>
      <c r="K47" s="66">
        <v>0</v>
      </c>
      <c r="O47" s="214"/>
      <c r="P47" s="184"/>
      <c r="Q47" s="184"/>
      <c r="R47" s="184"/>
      <c r="S47" s="214"/>
      <c r="T47" s="184"/>
      <c r="U47" s="184"/>
      <c r="V47" s="184"/>
      <c r="W47" s="214"/>
      <c r="X47" s="184"/>
      <c r="Y47" s="184"/>
      <c r="Z47" s="184"/>
      <c r="AA47" s="237"/>
      <c r="AB47" s="184"/>
      <c r="AC47" s="184"/>
      <c r="AD47" s="184"/>
      <c r="AE47" s="248">
        <f t="shared" si="2"/>
        <v>0</v>
      </c>
    </row>
    <row r="48" spans="1:31" ht="25.5">
      <c r="A48" s="15" t="s">
        <v>62</v>
      </c>
      <c r="B48" s="141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56" t="s">
        <v>14</v>
      </c>
      <c r="K48" s="43">
        <f>K51+K55</f>
        <v>0</v>
      </c>
      <c r="L48" s="43">
        <f>L51+L55</f>
        <v>0</v>
      </c>
      <c r="M48" s="43">
        <f>M51+M55</f>
        <v>0</v>
      </c>
      <c r="N48" s="43">
        <f>N51+N55</f>
        <v>0</v>
      </c>
      <c r="O48" s="219">
        <f>O51+O55</f>
        <v>0</v>
      </c>
      <c r="P48" s="43"/>
      <c r="Q48" s="43"/>
      <c r="R48" s="43"/>
      <c r="S48" s="219">
        <f>S51+S55</f>
        <v>0</v>
      </c>
      <c r="T48" s="43"/>
      <c r="U48" s="43"/>
      <c r="V48" s="43"/>
      <c r="W48" s="219">
        <f>W51+W55</f>
        <v>0</v>
      </c>
      <c r="X48" s="43"/>
      <c r="Y48" s="43"/>
      <c r="Z48" s="43"/>
      <c r="AA48" s="239">
        <f>AA51+AA55</f>
        <v>0</v>
      </c>
      <c r="AB48" s="249"/>
      <c r="AC48" s="249"/>
      <c r="AD48" s="249"/>
      <c r="AE48" s="248">
        <f t="shared" si="2"/>
        <v>0</v>
      </c>
    </row>
    <row r="49" spans="1:31" ht="12.75">
      <c r="A49" s="19"/>
      <c r="B49" s="143"/>
      <c r="C49" s="133"/>
      <c r="D49" s="133"/>
      <c r="E49" s="133"/>
      <c r="F49" s="133"/>
      <c r="G49" s="133"/>
      <c r="H49" s="133"/>
      <c r="I49" s="133"/>
      <c r="J49" s="133"/>
      <c r="K49" s="45"/>
      <c r="O49" s="214"/>
      <c r="P49" s="184"/>
      <c r="Q49" s="184"/>
      <c r="R49" s="184"/>
      <c r="S49" s="214"/>
      <c r="T49" s="184"/>
      <c r="U49" s="184"/>
      <c r="V49" s="184"/>
      <c r="W49" s="214"/>
      <c r="X49" s="184"/>
      <c r="Y49" s="184"/>
      <c r="Z49" s="184"/>
      <c r="AA49" s="237"/>
      <c r="AB49" s="184"/>
      <c r="AC49" s="184"/>
      <c r="AD49" s="184"/>
      <c r="AE49" s="248">
        <f t="shared" si="2"/>
        <v>0</v>
      </c>
    </row>
    <row r="50" spans="1:31" ht="12.75">
      <c r="A50" s="123" t="s">
        <v>64</v>
      </c>
      <c r="B50" s="114" t="s">
        <v>149</v>
      </c>
      <c r="C50" s="115" t="s">
        <v>14</v>
      </c>
      <c r="D50" s="115">
        <v>1</v>
      </c>
      <c r="E50" s="115">
        <v>11</v>
      </c>
      <c r="F50" s="115" t="s">
        <v>38</v>
      </c>
      <c r="G50" s="115" t="s">
        <v>14</v>
      </c>
      <c r="H50" s="115" t="s">
        <v>15</v>
      </c>
      <c r="I50" s="115" t="s">
        <v>16</v>
      </c>
      <c r="J50" s="115" t="s">
        <v>65</v>
      </c>
      <c r="K50" s="121">
        <f>K51</f>
        <v>0</v>
      </c>
      <c r="L50" s="121">
        <f>L51</f>
        <v>0</v>
      </c>
      <c r="M50" s="121">
        <f>M51</f>
        <v>0</v>
      </c>
      <c r="N50" s="121">
        <f>N51</f>
        <v>0</v>
      </c>
      <c r="O50" s="222">
        <f>O51</f>
        <v>0</v>
      </c>
      <c r="P50" s="121"/>
      <c r="Q50" s="121"/>
      <c r="R50" s="121"/>
      <c r="S50" s="222">
        <f>S51</f>
        <v>0</v>
      </c>
      <c r="T50" s="121"/>
      <c r="U50" s="121"/>
      <c r="V50" s="121"/>
      <c r="W50" s="222">
        <f>W51</f>
        <v>0</v>
      </c>
      <c r="X50" s="121"/>
      <c r="Y50" s="121"/>
      <c r="Z50" s="121"/>
      <c r="AA50" s="242">
        <f>AA51</f>
        <v>0</v>
      </c>
      <c r="AB50" s="250"/>
      <c r="AC50" s="250"/>
      <c r="AD50" s="250"/>
      <c r="AE50" s="248">
        <f t="shared" si="2"/>
        <v>0</v>
      </c>
    </row>
    <row r="51" spans="1:31" ht="24">
      <c r="A51" s="110"/>
      <c r="B51" s="112" t="s">
        <v>155</v>
      </c>
      <c r="C51" s="117" t="s">
        <v>66</v>
      </c>
      <c r="D51" s="117" t="s">
        <v>19</v>
      </c>
      <c r="E51" s="117" t="s">
        <v>63</v>
      </c>
      <c r="F51" s="117" t="s">
        <v>38</v>
      </c>
      <c r="G51" s="117" t="s">
        <v>14</v>
      </c>
      <c r="H51" s="117" t="s">
        <v>38</v>
      </c>
      <c r="I51" s="117" t="s">
        <v>16</v>
      </c>
      <c r="J51" s="117" t="s">
        <v>65</v>
      </c>
      <c r="K51" s="144">
        <f>K52+K53+K54</f>
        <v>0</v>
      </c>
      <c r="L51" s="144">
        <f>L52+L53+L54</f>
        <v>0</v>
      </c>
      <c r="M51" s="144">
        <f>M52+M53+M54</f>
        <v>0</v>
      </c>
      <c r="N51" s="144">
        <f>N52+N53+N54</f>
        <v>0</v>
      </c>
      <c r="O51" s="223">
        <f>O52+O53+O54</f>
        <v>0</v>
      </c>
      <c r="P51" s="144"/>
      <c r="Q51" s="144"/>
      <c r="R51" s="144"/>
      <c r="S51" s="223">
        <f>S52+S53+S54</f>
        <v>0</v>
      </c>
      <c r="T51" s="144"/>
      <c r="U51" s="144"/>
      <c r="V51" s="144"/>
      <c r="W51" s="223">
        <f>W52+W53+W54</f>
        <v>0</v>
      </c>
      <c r="X51" s="144"/>
      <c r="Y51" s="144"/>
      <c r="Z51" s="144"/>
      <c r="AA51" s="243">
        <f>AA52+AA53+AA54</f>
        <v>0</v>
      </c>
      <c r="AB51" s="251"/>
      <c r="AC51" s="251"/>
      <c r="AD51" s="251"/>
      <c r="AE51" s="248">
        <f t="shared" si="2"/>
        <v>0</v>
      </c>
    </row>
    <row r="52" spans="1:31" ht="12.75">
      <c r="A52" s="16"/>
      <c r="B52" s="112"/>
      <c r="C52" s="46"/>
      <c r="D52" s="46"/>
      <c r="E52" s="46"/>
      <c r="F52" s="46"/>
      <c r="G52" s="46"/>
      <c r="H52" s="46"/>
      <c r="I52" s="46"/>
      <c r="J52" s="46"/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37"/>
      <c r="AB52" s="184"/>
      <c r="AC52" s="184"/>
      <c r="AD52" s="184"/>
      <c r="AE52" s="248">
        <f t="shared" si="2"/>
        <v>0</v>
      </c>
    </row>
    <row r="53" spans="1:31" ht="12.75">
      <c r="A53" s="16"/>
      <c r="B53" s="112"/>
      <c r="C53" s="46"/>
      <c r="D53" s="46"/>
      <c r="E53" s="46"/>
      <c r="F53" s="46"/>
      <c r="G53" s="46"/>
      <c r="H53" s="46"/>
      <c r="I53" s="46"/>
      <c r="J53" s="46"/>
      <c r="K53" s="47"/>
      <c r="O53" s="214"/>
      <c r="P53" s="184"/>
      <c r="Q53" s="184"/>
      <c r="R53" s="184"/>
      <c r="S53" s="214"/>
      <c r="T53" s="184"/>
      <c r="U53" s="184"/>
      <c r="V53" s="184"/>
      <c r="W53" s="214"/>
      <c r="X53" s="184"/>
      <c r="Y53" s="184"/>
      <c r="Z53" s="184"/>
      <c r="AA53" s="237"/>
      <c r="AB53" s="184"/>
      <c r="AC53" s="184"/>
      <c r="AD53" s="184"/>
      <c r="AE53" s="248">
        <f t="shared" si="2"/>
        <v>0</v>
      </c>
    </row>
    <row r="54" spans="1:31" ht="24">
      <c r="A54" s="123" t="s">
        <v>157</v>
      </c>
      <c r="B54" s="122" t="s">
        <v>154</v>
      </c>
      <c r="C54" s="115" t="s">
        <v>66</v>
      </c>
      <c r="D54" s="115" t="s">
        <v>19</v>
      </c>
      <c r="E54" s="115" t="s">
        <v>63</v>
      </c>
      <c r="F54" s="115" t="s">
        <v>52</v>
      </c>
      <c r="G54" s="115" t="s">
        <v>14</v>
      </c>
      <c r="H54" s="115" t="s">
        <v>15</v>
      </c>
      <c r="I54" s="115" t="s">
        <v>16</v>
      </c>
      <c r="J54" s="115" t="s">
        <v>65</v>
      </c>
      <c r="K54" s="47">
        <f>K55</f>
        <v>0</v>
      </c>
      <c r="L54" s="47">
        <f>L55</f>
        <v>0</v>
      </c>
      <c r="M54" s="47">
        <f>M55</f>
        <v>0</v>
      </c>
      <c r="N54" s="47">
        <f>N55</f>
        <v>0</v>
      </c>
      <c r="O54" s="217">
        <f>O55</f>
        <v>0</v>
      </c>
      <c r="P54" s="47"/>
      <c r="Q54" s="47"/>
      <c r="R54" s="47"/>
      <c r="S54" s="217">
        <f>S55</f>
        <v>0</v>
      </c>
      <c r="T54" s="47"/>
      <c r="U54" s="47"/>
      <c r="V54" s="47"/>
      <c r="W54" s="217">
        <f>W55</f>
        <v>0</v>
      </c>
      <c r="X54" s="47"/>
      <c r="Y54" s="47"/>
      <c r="Z54" s="47"/>
      <c r="AA54" s="238">
        <f>AA55</f>
        <v>0</v>
      </c>
      <c r="AB54" s="64"/>
      <c r="AC54" s="64"/>
      <c r="AD54" s="64"/>
      <c r="AE54" s="248">
        <f t="shared" si="2"/>
        <v>0</v>
      </c>
    </row>
    <row r="55" spans="1:31" ht="24.75" thickBot="1">
      <c r="A55" s="24"/>
      <c r="B55" s="113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48" t="s">
        <v>65</v>
      </c>
      <c r="K55" s="67"/>
      <c r="O55" s="214"/>
      <c r="P55" s="184"/>
      <c r="Q55" s="184"/>
      <c r="R55" s="184"/>
      <c r="S55" s="214"/>
      <c r="T55" s="184"/>
      <c r="U55" s="184"/>
      <c r="V55" s="184"/>
      <c r="W55" s="214"/>
      <c r="X55" s="184"/>
      <c r="Y55" s="184"/>
      <c r="Z55" s="184"/>
      <c r="AA55" s="237"/>
      <c r="AB55" s="184"/>
      <c r="AC55" s="184"/>
      <c r="AD55" s="184"/>
      <c r="AE55" s="248">
        <f t="shared" si="2"/>
        <v>0</v>
      </c>
    </row>
    <row r="56" spans="1:31" ht="12.75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42" t="s">
        <v>14</v>
      </c>
      <c r="K56" s="43">
        <f>K57+K58</f>
        <v>500</v>
      </c>
      <c r="L56" s="43">
        <f>L57+L58</f>
        <v>0</v>
      </c>
      <c r="M56" s="43">
        <f>M57+M58</f>
        <v>0</v>
      </c>
      <c r="N56" s="43">
        <f>N57+N58</f>
        <v>0</v>
      </c>
      <c r="O56" s="219">
        <f>O57+O58</f>
        <v>100</v>
      </c>
      <c r="P56" s="43">
        <f aca="true" t="shared" si="8" ref="P56:AD56">P57+P58</f>
        <v>0</v>
      </c>
      <c r="Q56" s="43">
        <f t="shared" si="8"/>
        <v>30</v>
      </c>
      <c r="R56" s="43">
        <f t="shared" si="8"/>
        <v>70</v>
      </c>
      <c r="S56" s="219">
        <f t="shared" si="8"/>
        <v>100</v>
      </c>
      <c r="T56" s="43">
        <f t="shared" si="8"/>
        <v>30</v>
      </c>
      <c r="U56" s="43">
        <f t="shared" si="8"/>
        <v>0</v>
      </c>
      <c r="V56" s="43">
        <f t="shared" si="8"/>
        <v>70</v>
      </c>
      <c r="W56" s="219">
        <f t="shared" si="8"/>
        <v>100</v>
      </c>
      <c r="X56" s="43">
        <f t="shared" si="8"/>
        <v>30</v>
      </c>
      <c r="Y56" s="43">
        <f t="shared" si="8"/>
        <v>0</v>
      </c>
      <c r="Z56" s="43">
        <f t="shared" si="8"/>
        <v>70</v>
      </c>
      <c r="AA56" s="239">
        <f t="shared" si="8"/>
        <v>200</v>
      </c>
      <c r="AB56" s="249">
        <f t="shared" si="8"/>
        <v>30</v>
      </c>
      <c r="AC56" s="249">
        <f t="shared" si="8"/>
        <v>50</v>
      </c>
      <c r="AD56" s="249">
        <f t="shared" si="8"/>
        <v>120</v>
      </c>
      <c r="AE56" s="248">
        <f t="shared" si="2"/>
        <v>800</v>
      </c>
    </row>
    <row r="57" spans="1:31" ht="12.75">
      <c r="A57" s="123" t="s">
        <v>71</v>
      </c>
      <c r="B57" s="114" t="s">
        <v>72</v>
      </c>
      <c r="C57" s="115" t="s">
        <v>156</v>
      </c>
      <c r="D57" s="115" t="s">
        <v>19</v>
      </c>
      <c r="E57" s="115" t="s">
        <v>70</v>
      </c>
      <c r="F57" s="115" t="s">
        <v>20</v>
      </c>
      <c r="G57" s="115" t="s">
        <v>14</v>
      </c>
      <c r="H57" s="115" t="s">
        <v>20</v>
      </c>
      <c r="I57" s="115" t="s">
        <v>16</v>
      </c>
      <c r="J57" s="115" t="s">
        <v>65</v>
      </c>
      <c r="K57" s="47">
        <f>400+100</f>
        <v>500</v>
      </c>
      <c r="O57" s="214">
        <f>400/4</f>
        <v>100</v>
      </c>
      <c r="P57" s="184"/>
      <c r="Q57" s="184">
        <v>30</v>
      </c>
      <c r="R57" s="184">
        <v>70</v>
      </c>
      <c r="S57" s="214">
        <v>100</v>
      </c>
      <c r="T57" s="184">
        <v>30</v>
      </c>
      <c r="U57" s="184"/>
      <c r="V57" s="184">
        <v>70</v>
      </c>
      <c r="W57" s="214">
        <v>100</v>
      </c>
      <c r="X57" s="184">
        <v>30</v>
      </c>
      <c r="Y57" s="184"/>
      <c r="Z57" s="184">
        <v>70</v>
      </c>
      <c r="AA57" s="237">
        <f>100+100</f>
        <v>200</v>
      </c>
      <c r="AB57" s="184">
        <v>30</v>
      </c>
      <c r="AC57" s="184">
        <v>50</v>
      </c>
      <c r="AD57" s="184">
        <f>70+50</f>
        <v>120</v>
      </c>
      <c r="AE57" s="248">
        <f>SUM(O57:AB57)</f>
        <v>830</v>
      </c>
    </row>
    <row r="58" spans="1:31" ht="12.75">
      <c r="A58" s="123" t="s">
        <v>73</v>
      </c>
      <c r="B58" s="114" t="s">
        <v>74</v>
      </c>
      <c r="C58" s="115" t="s">
        <v>14</v>
      </c>
      <c r="D58" s="115" t="s">
        <v>19</v>
      </c>
      <c r="E58" s="115" t="s">
        <v>70</v>
      </c>
      <c r="F58" s="115" t="s">
        <v>77</v>
      </c>
      <c r="G58" s="115" t="s">
        <v>14</v>
      </c>
      <c r="H58" s="115" t="s">
        <v>15</v>
      </c>
      <c r="I58" s="115" t="s">
        <v>16</v>
      </c>
      <c r="J58" s="115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37"/>
      <c r="AB58" s="184"/>
      <c r="AC58" s="184"/>
      <c r="AD58" s="184"/>
      <c r="AE58" s="248">
        <f t="shared" si="2"/>
        <v>0</v>
      </c>
    </row>
    <row r="59" spans="1:31" ht="24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46" t="s">
        <v>65</v>
      </c>
      <c r="K59" s="47"/>
      <c r="N59" s="104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37"/>
      <c r="AB59" s="184"/>
      <c r="AC59" s="184"/>
      <c r="AD59" s="184"/>
      <c r="AE59" s="248">
        <f t="shared" si="2"/>
        <v>0</v>
      </c>
    </row>
    <row r="60" spans="1:31" ht="24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46" t="s">
        <v>65</v>
      </c>
      <c r="K60" s="101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37"/>
      <c r="AB60" s="184"/>
      <c r="AC60" s="184"/>
      <c r="AD60" s="184"/>
      <c r="AE60" s="248">
        <f t="shared" si="2"/>
        <v>0</v>
      </c>
    </row>
    <row r="61" spans="1:31" ht="24.75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48" t="s">
        <v>65</v>
      </c>
      <c r="K61" s="49"/>
      <c r="N61" s="104">
        <v>1410</v>
      </c>
      <c r="O61" s="214"/>
      <c r="P61" s="184"/>
      <c r="Q61" s="184"/>
      <c r="R61" s="184"/>
      <c r="S61" s="214"/>
      <c r="T61" s="184"/>
      <c r="U61" s="184"/>
      <c r="V61" s="184"/>
      <c r="W61" s="214"/>
      <c r="X61" s="184"/>
      <c r="Y61" s="184"/>
      <c r="Z61" s="184"/>
      <c r="AA61" s="237"/>
      <c r="AB61" s="184"/>
      <c r="AC61" s="184"/>
      <c r="AD61" s="184"/>
      <c r="AE61" s="248">
        <f t="shared" si="2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68">
        <f aca="true" t="shared" si="9" ref="K62:O63">K63</f>
        <v>550</v>
      </c>
      <c r="L62" s="68">
        <f t="shared" si="9"/>
        <v>0</v>
      </c>
      <c r="M62" s="68">
        <f t="shared" si="9"/>
        <v>0</v>
      </c>
      <c r="N62" s="68">
        <f t="shared" si="9"/>
        <v>0</v>
      </c>
      <c r="O62" s="224">
        <f t="shared" si="9"/>
        <v>0</v>
      </c>
      <c r="P62" s="68"/>
      <c r="Q62" s="68"/>
      <c r="R62" s="68"/>
      <c r="S62" s="224">
        <f>S63</f>
        <v>0</v>
      </c>
      <c r="T62" s="68"/>
      <c r="U62" s="68"/>
      <c r="V62" s="68"/>
      <c r="W62" s="224">
        <f>W63</f>
        <v>210</v>
      </c>
      <c r="X62" s="68"/>
      <c r="Y62" s="68"/>
      <c r="Z62" s="68"/>
      <c r="AA62" s="244">
        <f>AA63</f>
        <v>340</v>
      </c>
      <c r="AB62" s="249"/>
      <c r="AC62" s="249"/>
      <c r="AD62" s="249"/>
      <c r="AE62" s="248">
        <f t="shared" si="2"/>
        <v>550</v>
      </c>
    </row>
    <row r="63" spans="1:31" ht="24.75" thickBot="1">
      <c r="A63" s="126" t="s">
        <v>115</v>
      </c>
      <c r="B63" s="272" t="s">
        <v>217</v>
      </c>
      <c r="C63" s="129" t="s">
        <v>66</v>
      </c>
      <c r="D63" s="129" t="s">
        <v>19</v>
      </c>
      <c r="E63" s="129" t="s">
        <v>218</v>
      </c>
      <c r="F63" s="129" t="s">
        <v>23</v>
      </c>
      <c r="G63" s="129" t="s">
        <v>219</v>
      </c>
      <c r="H63" s="129" t="s">
        <v>38</v>
      </c>
      <c r="I63" s="129" t="s">
        <v>16</v>
      </c>
      <c r="J63" s="129" t="s">
        <v>101</v>
      </c>
      <c r="K63" s="68">
        <f>450+100</f>
        <v>550</v>
      </c>
      <c r="L63" s="68">
        <f t="shared" si="9"/>
        <v>0</v>
      </c>
      <c r="M63" s="68">
        <f t="shared" si="9"/>
        <v>0</v>
      </c>
      <c r="N63" s="68">
        <f t="shared" si="9"/>
        <v>0</v>
      </c>
      <c r="O63" s="224">
        <f t="shared" si="9"/>
        <v>0</v>
      </c>
      <c r="P63" s="68"/>
      <c r="Q63" s="68"/>
      <c r="R63" s="68"/>
      <c r="S63" s="224">
        <f>S64</f>
        <v>0</v>
      </c>
      <c r="T63" s="68"/>
      <c r="U63" s="68"/>
      <c r="V63" s="68"/>
      <c r="W63" s="224">
        <v>210</v>
      </c>
      <c r="X63" s="68">
        <v>50</v>
      </c>
      <c r="Y63" s="68">
        <v>80</v>
      </c>
      <c r="Z63" s="68">
        <v>80</v>
      </c>
      <c r="AA63" s="244">
        <f>240+100</f>
        <v>340</v>
      </c>
      <c r="AB63" s="249">
        <v>80</v>
      </c>
      <c r="AC63" s="249">
        <f>80+50</f>
        <v>130</v>
      </c>
      <c r="AD63" s="249">
        <f>80+50</f>
        <v>130</v>
      </c>
      <c r="AE63" s="248">
        <f>SUM(O63:AD63)</f>
        <v>1100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54" t="s">
        <v>118</v>
      </c>
      <c r="K64" s="55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37"/>
      <c r="AB64" s="184"/>
      <c r="AC64" s="184"/>
      <c r="AD64" s="184"/>
      <c r="AE64" s="248">
        <f t="shared" si="2"/>
        <v>0</v>
      </c>
    </row>
    <row r="65" spans="1:31" ht="13.5" thickBot="1">
      <c r="A65" s="28" t="s">
        <v>111</v>
      </c>
      <c r="B65" s="90" t="s">
        <v>81</v>
      </c>
      <c r="C65" s="50" t="s">
        <v>14</v>
      </c>
      <c r="D65" s="50" t="s">
        <v>19</v>
      </c>
      <c r="E65" s="50" t="s">
        <v>82</v>
      </c>
      <c r="F65" s="50" t="s">
        <v>158</v>
      </c>
      <c r="G65" s="50" t="s">
        <v>85</v>
      </c>
      <c r="H65" s="50" t="s">
        <v>15</v>
      </c>
      <c r="I65" s="50" t="s">
        <v>16</v>
      </c>
      <c r="J65" s="50" t="s">
        <v>14</v>
      </c>
      <c r="K65" s="100">
        <v>2000</v>
      </c>
      <c r="L65">
        <v>500</v>
      </c>
      <c r="O65" s="214">
        <v>302</v>
      </c>
      <c r="P65" s="184"/>
      <c r="Q65" s="184">
        <v>112</v>
      </c>
      <c r="R65" s="184">
        <v>190</v>
      </c>
      <c r="S65" s="214">
        <v>524</v>
      </c>
      <c r="T65" s="184">
        <v>190</v>
      </c>
      <c r="U65" s="184">
        <v>160</v>
      </c>
      <c r="V65" s="184">
        <v>174</v>
      </c>
      <c r="W65" s="214">
        <f>586-107</f>
        <v>479</v>
      </c>
      <c r="X65" s="184">
        <v>145</v>
      </c>
      <c r="Y65" s="184">
        <f>195+25-53</f>
        <v>167</v>
      </c>
      <c r="Z65" s="184">
        <f>195+26-54</f>
        <v>167</v>
      </c>
      <c r="AA65" s="237">
        <f>699-4</f>
        <v>695</v>
      </c>
      <c r="AB65" s="184">
        <v>233</v>
      </c>
      <c r="AC65" s="184">
        <v>233</v>
      </c>
      <c r="AD65" s="184">
        <f>233-4</f>
        <v>229</v>
      </c>
      <c r="AE65" s="248">
        <f>SUM(O65:AD65)</f>
        <v>4000</v>
      </c>
    </row>
    <row r="66" spans="1:31" ht="13.5" thickBot="1">
      <c r="A66" s="29" t="s">
        <v>112</v>
      </c>
      <c r="B66" s="132" t="s">
        <v>83</v>
      </c>
      <c r="C66" s="59" t="s">
        <v>66</v>
      </c>
      <c r="D66" s="59" t="s">
        <v>19</v>
      </c>
      <c r="E66" s="59" t="s">
        <v>84</v>
      </c>
      <c r="F66" s="59" t="s">
        <v>38</v>
      </c>
      <c r="G66" s="59" t="s">
        <v>159</v>
      </c>
      <c r="H66" s="59" t="s">
        <v>38</v>
      </c>
      <c r="I66" s="59" t="s">
        <v>16</v>
      </c>
      <c r="J66" s="59" t="s">
        <v>86</v>
      </c>
      <c r="K66" s="68">
        <v>200</v>
      </c>
      <c r="L66">
        <v>704</v>
      </c>
      <c r="N66" s="104"/>
      <c r="O66" s="214"/>
      <c r="P66" s="184"/>
      <c r="Q66" s="184"/>
      <c r="R66" s="184"/>
      <c r="S66" s="214">
        <v>114</v>
      </c>
      <c r="T66" s="184"/>
      <c r="U66" s="184"/>
      <c r="V66" s="184">
        <v>114</v>
      </c>
      <c r="W66" s="214">
        <v>43</v>
      </c>
      <c r="X66" s="184"/>
      <c r="Y66" s="184">
        <f>14+7</f>
        <v>21</v>
      </c>
      <c r="Z66" s="184">
        <f>15+7</f>
        <v>22</v>
      </c>
      <c r="AA66" s="237">
        <v>43</v>
      </c>
      <c r="AB66" s="184">
        <v>14</v>
      </c>
      <c r="AC66" s="184">
        <v>14</v>
      </c>
      <c r="AD66" s="184">
        <v>15</v>
      </c>
      <c r="AE66" s="248">
        <f>SUM(O66:AD66)</f>
        <v>400</v>
      </c>
    </row>
    <row r="67" spans="1:31" ht="13.5" thickBot="1">
      <c r="A67" s="30" t="s">
        <v>87</v>
      </c>
      <c r="B67" s="91" t="s">
        <v>88</v>
      </c>
      <c r="C67" s="42" t="s">
        <v>14</v>
      </c>
      <c r="D67" s="42" t="s">
        <v>89</v>
      </c>
      <c r="E67" s="42" t="s">
        <v>15</v>
      </c>
      <c r="F67" s="42" t="s">
        <v>15</v>
      </c>
      <c r="G67" s="42" t="s">
        <v>14</v>
      </c>
      <c r="H67" s="42" t="s">
        <v>15</v>
      </c>
      <c r="I67" s="42" t="s">
        <v>16</v>
      </c>
      <c r="J67" s="42" t="s">
        <v>14</v>
      </c>
      <c r="K67" s="102">
        <f>K69+K73+K91+K98+K99+K102+K103+K98+K99+K90</f>
        <v>225676.40000000002</v>
      </c>
      <c r="L67" s="102">
        <f aca="true" t="shared" si="10" ref="L67:AD67">L69+L73+L91+L98+L99+L102+L103+L98+L99+L90</f>
        <v>73979</v>
      </c>
      <c r="M67" s="102">
        <f t="shared" si="10"/>
        <v>73979</v>
      </c>
      <c r="N67" s="102">
        <f t="shared" si="10"/>
        <v>73979</v>
      </c>
      <c r="O67" s="102">
        <f t="shared" si="10"/>
        <v>56961</v>
      </c>
      <c r="P67" s="102">
        <f t="shared" si="10"/>
        <v>20785</v>
      </c>
      <c r="Q67" s="102">
        <f t="shared" si="10"/>
        <v>20638</v>
      </c>
      <c r="R67" s="102">
        <f t="shared" si="10"/>
        <v>15538</v>
      </c>
      <c r="S67" s="102">
        <f t="shared" si="10"/>
        <v>62228.1</v>
      </c>
      <c r="T67" s="102">
        <f t="shared" si="10"/>
        <v>17947</v>
      </c>
      <c r="U67" s="102">
        <f t="shared" si="10"/>
        <v>17949</v>
      </c>
      <c r="V67" s="102">
        <f t="shared" si="10"/>
        <v>26332.1</v>
      </c>
      <c r="W67" s="102">
        <f t="shared" si="10"/>
        <v>47658.8</v>
      </c>
      <c r="X67" s="102">
        <f t="shared" si="10"/>
        <v>15694</v>
      </c>
      <c r="Y67" s="102">
        <f t="shared" si="10"/>
        <v>15879</v>
      </c>
      <c r="Z67" s="102">
        <f t="shared" si="10"/>
        <v>16085.8</v>
      </c>
      <c r="AA67" s="102">
        <f t="shared" si="10"/>
        <v>58828.899999999994</v>
      </c>
      <c r="AB67" s="102">
        <f t="shared" si="10"/>
        <v>19600</v>
      </c>
      <c r="AC67" s="102">
        <f t="shared" si="10"/>
        <v>19600</v>
      </c>
      <c r="AD67" s="102">
        <f t="shared" si="10"/>
        <v>19868.9</v>
      </c>
      <c r="AE67" s="248">
        <f t="shared" si="2"/>
        <v>392524.69999999995</v>
      </c>
    </row>
    <row r="68" spans="1:31" ht="12.75">
      <c r="A68" s="19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102"/>
      <c r="O68" s="214"/>
      <c r="P68" s="184"/>
      <c r="Q68" s="184"/>
      <c r="R68" s="184"/>
      <c r="S68" s="214"/>
      <c r="T68" s="184"/>
      <c r="U68" s="184"/>
      <c r="V68" s="184"/>
      <c r="W68" s="214"/>
      <c r="X68" s="184"/>
      <c r="Y68" s="184"/>
      <c r="Z68" s="184"/>
      <c r="AA68" s="237"/>
      <c r="AB68" s="184"/>
      <c r="AC68" s="184"/>
      <c r="AD68" s="184"/>
      <c r="AE68" s="248">
        <f t="shared" si="2"/>
        <v>0</v>
      </c>
    </row>
    <row r="69" spans="1:31" ht="12.75">
      <c r="A69" s="109" t="s">
        <v>17</v>
      </c>
      <c r="B69" s="17" t="s">
        <v>161</v>
      </c>
      <c r="C69" s="44" t="s">
        <v>14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45">
        <f>K70+K71+K72</f>
        <v>79979</v>
      </c>
      <c r="L69" s="45">
        <f>L70+L71+L72</f>
        <v>0</v>
      </c>
      <c r="M69" s="45">
        <f>M70+M71+M72</f>
        <v>0</v>
      </c>
      <c r="N69" s="45">
        <f>N70+N71+N72</f>
        <v>0</v>
      </c>
      <c r="O69" s="216">
        <f>O70+O71+O72</f>
        <v>16878</v>
      </c>
      <c r="P69" s="45">
        <f aca="true" t="shared" si="11" ref="P69:AD69">P70+P71+P72</f>
        <v>7379</v>
      </c>
      <c r="Q69" s="45">
        <f t="shared" si="11"/>
        <v>7232</v>
      </c>
      <c r="R69" s="45">
        <f t="shared" si="11"/>
        <v>2267</v>
      </c>
      <c r="S69" s="216">
        <f t="shared" si="11"/>
        <v>22832</v>
      </c>
      <c r="T69" s="45">
        <f t="shared" si="11"/>
        <v>5047</v>
      </c>
      <c r="U69" s="45">
        <f t="shared" si="11"/>
        <v>5047</v>
      </c>
      <c r="V69" s="45">
        <f t="shared" si="11"/>
        <v>12738</v>
      </c>
      <c r="W69" s="216">
        <f t="shared" si="11"/>
        <v>15553</v>
      </c>
      <c r="X69" s="45">
        <f t="shared" si="11"/>
        <v>5183</v>
      </c>
      <c r="Y69" s="45">
        <f t="shared" si="11"/>
        <v>5183</v>
      </c>
      <c r="Z69" s="45">
        <f t="shared" si="11"/>
        <v>5187</v>
      </c>
      <c r="AA69" s="245">
        <f t="shared" si="11"/>
        <v>24716</v>
      </c>
      <c r="AB69" s="249">
        <f t="shared" si="11"/>
        <v>8237</v>
      </c>
      <c r="AC69" s="249">
        <f t="shared" si="11"/>
        <v>8237</v>
      </c>
      <c r="AD69" s="249">
        <f t="shared" si="11"/>
        <v>8242</v>
      </c>
      <c r="AE69" s="248">
        <f t="shared" si="2"/>
        <v>135242</v>
      </c>
    </row>
    <row r="70" spans="1:31" ht="12.75">
      <c r="A70" s="110" t="s">
        <v>102</v>
      </c>
      <c r="B70" s="135" t="s">
        <v>160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112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37"/>
      <c r="AB70" s="184"/>
      <c r="AC70" s="184"/>
      <c r="AD70" s="184"/>
      <c r="AE70" s="248">
        <f t="shared" si="2"/>
        <v>0</v>
      </c>
    </row>
    <row r="71" spans="1:32" ht="24">
      <c r="A71" s="110" t="s">
        <v>162</v>
      </c>
      <c r="B71" s="135" t="s">
        <v>145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27</v>
      </c>
      <c r="H71" s="117" t="s">
        <v>38</v>
      </c>
      <c r="I71" s="117" t="s">
        <v>16</v>
      </c>
      <c r="J71" s="117" t="s">
        <v>91</v>
      </c>
      <c r="K71" s="45">
        <f>68152+11582</f>
        <v>79734</v>
      </c>
      <c r="O71" s="214">
        <f>17038-1660+1500</f>
        <v>16878</v>
      </c>
      <c r="P71" s="184">
        <v>7379</v>
      </c>
      <c r="Q71" s="184">
        <v>7232</v>
      </c>
      <c r="R71" s="184">
        <f>767+1500</f>
        <v>2267</v>
      </c>
      <c r="S71" s="214">
        <f>17038-398-1500+7692</f>
        <v>22832</v>
      </c>
      <c r="T71" s="184">
        <f>5679-132-500</f>
        <v>5047</v>
      </c>
      <c r="U71" s="184">
        <f>5679-132-500</f>
        <v>5047</v>
      </c>
      <c r="V71" s="184">
        <f>5546-500+7692</f>
        <v>12738</v>
      </c>
      <c r="W71" s="214">
        <f>17038+232-7692+5791</f>
        <v>15369</v>
      </c>
      <c r="X71" s="184">
        <f>5679+77-2564+1930</f>
        <v>5122</v>
      </c>
      <c r="Y71" s="184">
        <f>5679+77-2564+1930</f>
        <v>5122</v>
      </c>
      <c r="Z71" s="184">
        <f>5758-2564+1931</f>
        <v>5125</v>
      </c>
      <c r="AA71" s="237">
        <f>17038+1826+5791</f>
        <v>24655</v>
      </c>
      <c r="AB71" s="184">
        <f>5679+608+1930</f>
        <v>8217</v>
      </c>
      <c r="AC71" s="184">
        <f>5679+608+1930</f>
        <v>8217</v>
      </c>
      <c r="AD71" s="184">
        <f>6290+1931</f>
        <v>8221</v>
      </c>
      <c r="AE71" s="248">
        <f>SUM(O71:AD71)</f>
        <v>159468</v>
      </c>
      <c r="AF71">
        <f>AA71+W71+S71+O71</f>
        <v>79734</v>
      </c>
    </row>
    <row r="72" spans="1:32" ht="24">
      <c r="A72" s="110" t="s">
        <v>164</v>
      </c>
      <c r="B72" s="135" t="s">
        <v>163</v>
      </c>
      <c r="C72" s="117" t="s">
        <v>14</v>
      </c>
      <c r="D72" s="117" t="s">
        <v>89</v>
      </c>
      <c r="E72" s="117" t="s">
        <v>23</v>
      </c>
      <c r="F72" s="117" t="s">
        <v>20</v>
      </c>
      <c r="G72" s="117" t="s">
        <v>92</v>
      </c>
      <c r="H72" s="117" t="s">
        <v>38</v>
      </c>
      <c r="I72" s="117" t="s">
        <v>16</v>
      </c>
      <c r="J72" s="117" t="s">
        <v>91</v>
      </c>
      <c r="K72" s="45">
        <v>245</v>
      </c>
      <c r="O72" s="214"/>
      <c r="P72" s="184"/>
      <c r="Q72" s="184"/>
      <c r="R72" s="184"/>
      <c r="S72" s="214"/>
      <c r="T72" s="184"/>
      <c r="U72" s="184"/>
      <c r="V72" s="184"/>
      <c r="W72" s="214">
        <v>184</v>
      </c>
      <c r="X72" s="184">
        <v>61</v>
      </c>
      <c r="Y72" s="184">
        <v>61</v>
      </c>
      <c r="Z72" s="184">
        <v>62</v>
      </c>
      <c r="AA72" s="237">
        <v>61</v>
      </c>
      <c r="AB72" s="184">
        <v>20</v>
      </c>
      <c r="AC72" s="184">
        <v>20</v>
      </c>
      <c r="AD72" s="184">
        <v>21</v>
      </c>
      <c r="AE72" s="248">
        <f>SUM(O72:AD72)</f>
        <v>490</v>
      </c>
      <c r="AF72">
        <f aca="true" t="shared" si="12" ref="AF72:AF112">AA72+W72+S72+O72</f>
        <v>245</v>
      </c>
    </row>
    <row r="73" spans="1:32" ht="12.75">
      <c r="A73" s="26" t="s">
        <v>36</v>
      </c>
      <c r="B73" s="17" t="s">
        <v>93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45">
        <f>K74+K75+K76+K77+K78+K79+K80+K81+K82+K83+K84+K85+K86+K87</f>
        <v>100241.40000000001</v>
      </c>
      <c r="L73" s="45">
        <f aca="true" t="shared" si="13" ref="L73:AE73">L74+L75+L76+L77+L78+L79+L80+L81+L82+L83+L84+L85+L86+L87</f>
        <v>73979</v>
      </c>
      <c r="M73" s="45">
        <f t="shared" si="13"/>
        <v>73979</v>
      </c>
      <c r="N73" s="45">
        <f t="shared" si="13"/>
        <v>73979</v>
      </c>
      <c r="O73" s="45">
        <f t="shared" si="13"/>
        <v>27554</v>
      </c>
      <c r="P73" s="45">
        <f t="shared" si="13"/>
        <v>9083</v>
      </c>
      <c r="Q73" s="45">
        <f t="shared" si="13"/>
        <v>9083</v>
      </c>
      <c r="R73" s="45">
        <f t="shared" si="13"/>
        <v>9388</v>
      </c>
      <c r="S73" s="45">
        <f t="shared" si="13"/>
        <v>30092.1</v>
      </c>
      <c r="T73" s="45">
        <f t="shared" si="13"/>
        <v>9802</v>
      </c>
      <c r="U73" s="45">
        <f t="shared" si="13"/>
        <v>9804</v>
      </c>
      <c r="V73" s="45">
        <f t="shared" si="13"/>
        <v>10486.1</v>
      </c>
      <c r="W73" s="45">
        <f t="shared" si="13"/>
        <v>18591.3</v>
      </c>
      <c r="X73" s="45">
        <f t="shared" si="13"/>
        <v>6193</v>
      </c>
      <c r="Y73" s="45">
        <f t="shared" si="13"/>
        <v>6194</v>
      </c>
      <c r="Z73" s="45">
        <f t="shared" si="13"/>
        <v>6204.3</v>
      </c>
      <c r="AA73" s="45">
        <f t="shared" si="13"/>
        <v>24004</v>
      </c>
      <c r="AB73" s="45">
        <f t="shared" si="13"/>
        <v>7998</v>
      </c>
      <c r="AC73" s="45">
        <f t="shared" si="13"/>
        <v>7998</v>
      </c>
      <c r="AD73" s="45">
        <f t="shared" si="13"/>
        <v>8010</v>
      </c>
      <c r="AE73" s="45">
        <f t="shared" si="13"/>
        <v>197187.6</v>
      </c>
      <c r="AF73">
        <f t="shared" si="12"/>
        <v>100241.4</v>
      </c>
    </row>
    <row r="74" spans="1:32" ht="96">
      <c r="A74" s="25" t="s">
        <v>39</v>
      </c>
      <c r="B74" s="92" t="s">
        <v>136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294">
        <f>68168-551+6362</f>
        <v>73979</v>
      </c>
      <c r="L74" s="101">
        <f>68168-551+6362</f>
        <v>73979</v>
      </c>
      <c r="M74" s="101">
        <f>68168-551+6362</f>
        <v>73979</v>
      </c>
      <c r="N74" s="101">
        <f>68168-551+6362</f>
        <v>73979</v>
      </c>
      <c r="O74" s="101">
        <v>21943</v>
      </c>
      <c r="P74" s="101">
        <v>7314</v>
      </c>
      <c r="Q74" s="101">
        <v>7314</v>
      </c>
      <c r="R74" s="101">
        <v>7315</v>
      </c>
      <c r="S74" s="101">
        <v>24396</v>
      </c>
      <c r="T74" s="101">
        <v>8132</v>
      </c>
      <c r="U74" s="101">
        <v>8132</v>
      </c>
      <c r="V74" s="101">
        <v>8132</v>
      </c>
      <c r="W74" s="101">
        <v>10559</v>
      </c>
      <c r="X74" s="101">
        <v>3519</v>
      </c>
      <c r="Y74" s="101">
        <v>3519</v>
      </c>
      <c r="Z74" s="101">
        <v>3521</v>
      </c>
      <c r="AA74" s="101">
        <v>17081</v>
      </c>
      <c r="AB74" s="101">
        <v>5693</v>
      </c>
      <c r="AC74" s="101">
        <v>5693</v>
      </c>
      <c r="AD74" s="101">
        <v>5695</v>
      </c>
      <c r="AE74" s="248">
        <f>SUM(O74:AD74)</f>
        <v>147958</v>
      </c>
      <c r="AF74">
        <f t="shared" si="12"/>
        <v>73979</v>
      </c>
    </row>
    <row r="75" spans="1:32" ht="24">
      <c r="A75" s="25" t="s">
        <v>41</v>
      </c>
      <c r="B75" s="92" t="s">
        <v>137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294">
        <v>192</v>
      </c>
      <c r="O75" s="214">
        <v>48</v>
      </c>
      <c r="P75" s="184">
        <v>16</v>
      </c>
      <c r="Q75" s="184">
        <v>16</v>
      </c>
      <c r="R75" s="184">
        <v>16</v>
      </c>
      <c r="S75" s="214">
        <v>48</v>
      </c>
      <c r="T75" s="184">
        <v>16</v>
      </c>
      <c r="U75" s="184">
        <v>16</v>
      </c>
      <c r="V75" s="184">
        <v>16</v>
      </c>
      <c r="W75" s="214">
        <v>48</v>
      </c>
      <c r="X75" s="184">
        <v>16</v>
      </c>
      <c r="Y75" s="184">
        <v>16</v>
      </c>
      <c r="Z75" s="184">
        <v>16</v>
      </c>
      <c r="AA75" s="237">
        <v>48</v>
      </c>
      <c r="AB75" s="184">
        <v>16</v>
      </c>
      <c r="AC75" s="184">
        <v>16</v>
      </c>
      <c r="AD75" s="184">
        <v>16</v>
      </c>
      <c r="AE75" s="248">
        <f>SUM(O75:AD75)</f>
        <v>384</v>
      </c>
      <c r="AF75">
        <f t="shared" si="12"/>
        <v>192</v>
      </c>
    </row>
    <row r="76" spans="1:32" ht="24">
      <c r="A76" s="25" t="s">
        <v>94</v>
      </c>
      <c r="B76" s="92" t="s">
        <v>138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294">
        <v>3526</v>
      </c>
      <c r="O76" s="214">
        <v>881</v>
      </c>
      <c r="P76" s="184">
        <v>293</v>
      </c>
      <c r="Q76" s="184">
        <v>293</v>
      </c>
      <c r="R76" s="184">
        <v>295</v>
      </c>
      <c r="S76" s="214">
        <v>882</v>
      </c>
      <c r="T76" s="184">
        <v>294</v>
      </c>
      <c r="U76" s="184">
        <v>295</v>
      </c>
      <c r="V76" s="184">
        <v>293</v>
      </c>
      <c r="W76" s="214">
        <v>882</v>
      </c>
      <c r="X76" s="184">
        <v>294</v>
      </c>
      <c r="Y76" s="184">
        <v>295</v>
      </c>
      <c r="Z76" s="184">
        <v>293</v>
      </c>
      <c r="AA76" s="237">
        <v>881</v>
      </c>
      <c r="AB76" s="184">
        <v>295</v>
      </c>
      <c r="AC76" s="184">
        <v>293</v>
      </c>
      <c r="AD76" s="184">
        <v>293</v>
      </c>
      <c r="AE76" s="248">
        <f t="shared" si="2"/>
        <v>6171</v>
      </c>
      <c r="AF76">
        <f t="shared" si="12"/>
        <v>3526</v>
      </c>
    </row>
    <row r="77" spans="1:32" ht="24">
      <c r="A77" s="25" t="s">
        <v>95</v>
      </c>
      <c r="B77" s="93" t="s">
        <v>139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294">
        <v>33</v>
      </c>
      <c r="O77" s="214">
        <v>9</v>
      </c>
      <c r="P77" s="184">
        <v>3</v>
      </c>
      <c r="Q77" s="184">
        <v>3</v>
      </c>
      <c r="R77" s="184">
        <v>3</v>
      </c>
      <c r="S77" s="214">
        <v>8</v>
      </c>
      <c r="T77" s="184">
        <v>2</v>
      </c>
      <c r="U77" s="184">
        <v>3</v>
      </c>
      <c r="V77" s="184">
        <v>3</v>
      </c>
      <c r="W77" s="214">
        <v>8</v>
      </c>
      <c r="X77" s="184">
        <v>2</v>
      </c>
      <c r="Y77" s="184">
        <v>3</v>
      </c>
      <c r="Z77" s="184">
        <v>3</v>
      </c>
      <c r="AA77" s="237">
        <v>8</v>
      </c>
      <c r="AB77" s="184">
        <v>2</v>
      </c>
      <c r="AC77" s="184">
        <v>3</v>
      </c>
      <c r="AD77" s="184">
        <v>3</v>
      </c>
      <c r="AE77" s="248">
        <f>SUM(O77:AD77)</f>
        <v>66</v>
      </c>
      <c r="AF77">
        <f t="shared" si="12"/>
        <v>33</v>
      </c>
    </row>
    <row r="78" spans="1:32" ht="36">
      <c r="A78" s="25" t="s">
        <v>109</v>
      </c>
      <c r="B78" s="93" t="s">
        <v>140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294">
        <v>2627</v>
      </c>
      <c r="O78" s="214">
        <v>657</v>
      </c>
      <c r="P78" s="184">
        <v>219</v>
      </c>
      <c r="Q78" s="184">
        <v>219</v>
      </c>
      <c r="R78" s="184">
        <v>219</v>
      </c>
      <c r="S78" s="214">
        <v>657</v>
      </c>
      <c r="T78" s="184">
        <v>219</v>
      </c>
      <c r="U78" s="184">
        <v>219</v>
      </c>
      <c r="V78" s="184">
        <v>219</v>
      </c>
      <c r="W78" s="214">
        <v>657</v>
      </c>
      <c r="X78" s="184">
        <v>219</v>
      </c>
      <c r="Y78" s="184">
        <v>219</v>
      </c>
      <c r="Z78" s="184">
        <v>219</v>
      </c>
      <c r="AA78" s="237">
        <v>656</v>
      </c>
      <c r="AB78" s="184">
        <v>219</v>
      </c>
      <c r="AC78" s="184">
        <v>219</v>
      </c>
      <c r="AD78" s="184">
        <v>218</v>
      </c>
      <c r="AE78" s="248">
        <f>SUM(O78:AD78)</f>
        <v>5254</v>
      </c>
      <c r="AF78">
        <f t="shared" si="12"/>
        <v>2627</v>
      </c>
    </row>
    <row r="79" spans="1:32" ht="48">
      <c r="A79" s="25" t="s">
        <v>110</v>
      </c>
      <c r="B79" s="93" t="s">
        <v>141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294">
        <f>5130+813+1664</f>
        <v>7607</v>
      </c>
      <c r="O79" s="214">
        <v>1283</v>
      </c>
      <c r="P79" s="184">
        <v>427</v>
      </c>
      <c r="Q79" s="184">
        <v>427</v>
      </c>
      <c r="R79" s="184">
        <v>429</v>
      </c>
      <c r="S79" s="214">
        <f>1282+325</f>
        <v>1607</v>
      </c>
      <c r="T79" s="184">
        <v>427</v>
      </c>
      <c r="U79" s="184">
        <v>427</v>
      </c>
      <c r="V79" s="184">
        <f>428+325</f>
        <v>753</v>
      </c>
      <c r="W79" s="214">
        <f>1282+217+832</f>
        <v>2331</v>
      </c>
      <c r="X79" s="184">
        <f>427+73+277</f>
        <v>777</v>
      </c>
      <c r="Y79" s="184">
        <f>427+72+277</f>
        <v>776</v>
      </c>
      <c r="Z79" s="184">
        <f>428+73+277</f>
        <v>778</v>
      </c>
      <c r="AA79" s="237">
        <f>1283+271+832</f>
        <v>2386</v>
      </c>
      <c r="AB79" s="184">
        <f>427+90+277</f>
        <v>794</v>
      </c>
      <c r="AC79" s="184">
        <f>428+90+277</f>
        <v>795</v>
      </c>
      <c r="AD79" s="184">
        <f>428+91+278</f>
        <v>797</v>
      </c>
      <c r="AE79" s="248">
        <f>SUM(O79:AD79)</f>
        <v>15214</v>
      </c>
      <c r="AF79">
        <f t="shared" si="12"/>
        <v>7607</v>
      </c>
    </row>
    <row r="80" spans="1:32" ht="36">
      <c r="A80" s="25"/>
      <c r="B80" s="93" t="s">
        <v>142</v>
      </c>
      <c r="C80" s="46" t="s">
        <v>14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294">
        <f>5307+328</f>
        <v>5635</v>
      </c>
      <c r="O80" s="214">
        <f>1327+298</f>
        <v>1625</v>
      </c>
      <c r="P80" s="184">
        <v>442</v>
      </c>
      <c r="Q80" s="184">
        <v>442</v>
      </c>
      <c r="R80" s="184">
        <f>443+298</f>
        <v>741</v>
      </c>
      <c r="S80" s="214">
        <f>1326-298+131</f>
        <v>1159</v>
      </c>
      <c r="T80" s="184">
        <f>442-99</f>
        <v>343</v>
      </c>
      <c r="U80" s="184">
        <f>442-99</f>
        <v>343</v>
      </c>
      <c r="V80" s="184">
        <f>442-100+131</f>
        <v>473</v>
      </c>
      <c r="W80" s="214">
        <f>1327+87</f>
        <v>1414</v>
      </c>
      <c r="X80" s="184">
        <f>442+29</f>
        <v>471</v>
      </c>
      <c r="Y80" s="184">
        <f>442+29</f>
        <v>471</v>
      </c>
      <c r="Z80" s="184">
        <f>443+29</f>
        <v>472</v>
      </c>
      <c r="AA80" s="237">
        <f>1327+110</f>
        <v>1437</v>
      </c>
      <c r="AB80" s="184">
        <f>442+36</f>
        <v>478</v>
      </c>
      <c r="AC80" s="184">
        <f>442+36</f>
        <v>478</v>
      </c>
      <c r="AD80" s="184">
        <v>481</v>
      </c>
      <c r="AE80" s="248">
        <f>SUM(O80:AD80)</f>
        <v>11270</v>
      </c>
      <c r="AF80">
        <f t="shared" si="12"/>
        <v>5635</v>
      </c>
    </row>
    <row r="81" spans="1:32" ht="36">
      <c r="A81" s="25"/>
      <c r="B81" s="93" t="s">
        <v>143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294">
        <f>4299+563</f>
        <v>4862</v>
      </c>
      <c r="O81" s="214">
        <v>1075</v>
      </c>
      <c r="P81" s="184">
        <v>358</v>
      </c>
      <c r="Q81" s="184">
        <v>358</v>
      </c>
      <c r="R81" s="184">
        <v>359</v>
      </c>
      <c r="S81" s="214">
        <v>1074</v>
      </c>
      <c r="T81" s="184">
        <v>358</v>
      </c>
      <c r="U81" s="184">
        <v>358</v>
      </c>
      <c r="V81" s="184">
        <v>358</v>
      </c>
      <c r="W81" s="214">
        <f>1075+282</f>
        <v>1357</v>
      </c>
      <c r="X81" s="184">
        <f>358+94</f>
        <v>452</v>
      </c>
      <c r="Y81" s="184">
        <f>358+94</f>
        <v>452</v>
      </c>
      <c r="Z81" s="184">
        <f>359+94</f>
        <v>453</v>
      </c>
      <c r="AA81" s="237">
        <f>1075+281</f>
        <v>1356</v>
      </c>
      <c r="AB81" s="184">
        <f>358+94</f>
        <v>452</v>
      </c>
      <c r="AC81" s="184">
        <f>358+94</f>
        <v>452</v>
      </c>
      <c r="AD81" s="184">
        <f>359+95</f>
        <v>454</v>
      </c>
      <c r="AE81" s="248">
        <f>SUM(O81:AD81)</f>
        <v>9726</v>
      </c>
      <c r="AF81">
        <f t="shared" si="12"/>
        <v>4862</v>
      </c>
    </row>
    <row r="82" spans="1:32" ht="24">
      <c r="A82" s="25"/>
      <c r="B82" s="93" t="s">
        <v>144</v>
      </c>
      <c r="C82" s="46" t="s">
        <v>14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294">
        <v>135</v>
      </c>
      <c r="O82" s="214">
        <v>33</v>
      </c>
      <c r="P82" s="184">
        <v>11</v>
      </c>
      <c r="Q82" s="184">
        <v>11</v>
      </c>
      <c r="R82" s="184">
        <v>11</v>
      </c>
      <c r="S82" s="214">
        <v>34</v>
      </c>
      <c r="T82" s="184">
        <v>11</v>
      </c>
      <c r="U82" s="184">
        <v>11</v>
      </c>
      <c r="V82" s="184">
        <v>12</v>
      </c>
      <c r="W82" s="214">
        <v>34</v>
      </c>
      <c r="X82" s="184">
        <v>11</v>
      </c>
      <c r="Y82" s="184">
        <v>11</v>
      </c>
      <c r="Z82" s="184">
        <v>12</v>
      </c>
      <c r="AA82" s="237">
        <v>34</v>
      </c>
      <c r="AB82" s="184">
        <v>11</v>
      </c>
      <c r="AC82" s="184">
        <v>11</v>
      </c>
      <c r="AD82" s="184">
        <v>12</v>
      </c>
      <c r="AE82" s="248">
        <f t="shared" si="2"/>
        <v>236</v>
      </c>
      <c r="AF82">
        <f t="shared" si="12"/>
        <v>135</v>
      </c>
    </row>
    <row r="83" spans="1:32" ht="24">
      <c r="A83" s="25"/>
      <c r="B83" s="93" t="s">
        <v>215</v>
      </c>
      <c r="C83" s="46" t="s">
        <v>14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294">
        <f>227.1+227.2</f>
        <v>454.29999999999995</v>
      </c>
      <c r="O83" s="214"/>
      <c r="P83" s="184"/>
      <c r="Q83" s="184"/>
      <c r="R83" s="184"/>
      <c r="S83" s="214">
        <v>227.1</v>
      </c>
      <c r="T83" s="184"/>
      <c r="U83" s="184"/>
      <c r="V83" s="184">
        <v>227.1</v>
      </c>
      <c r="W83" s="214">
        <f>227.2</f>
        <v>227.2</v>
      </c>
      <c r="X83" s="184">
        <v>76</v>
      </c>
      <c r="Y83" s="184">
        <v>76</v>
      </c>
      <c r="Z83" s="184">
        <v>75.2</v>
      </c>
      <c r="AA83" s="237"/>
      <c r="AB83" s="184"/>
      <c r="AC83" s="184"/>
      <c r="AD83" s="184"/>
      <c r="AE83" s="248">
        <f t="shared" si="2"/>
        <v>908.6</v>
      </c>
      <c r="AF83">
        <f t="shared" si="12"/>
        <v>454.29999999999995</v>
      </c>
    </row>
    <row r="84" spans="1:32" ht="48">
      <c r="A84" s="25"/>
      <c r="B84" s="93" t="s">
        <v>220</v>
      </c>
      <c r="C84" s="46" t="s">
        <v>14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294">
        <v>342</v>
      </c>
      <c r="O84" s="237"/>
      <c r="P84" s="207"/>
      <c r="Q84" s="207"/>
      <c r="R84" s="207"/>
      <c r="S84" s="237"/>
      <c r="T84" s="207"/>
      <c r="U84" s="207"/>
      <c r="V84" s="207"/>
      <c r="W84" s="237">
        <v>257</v>
      </c>
      <c r="X84" s="207">
        <v>85</v>
      </c>
      <c r="Y84" s="207">
        <v>85</v>
      </c>
      <c r="Z84" s="207">
        <v>87</v>
      </c>
      <c r="AA84" s="237">
        <v>85</v>
      </c>
      <c r="AB84" s="207">
        <v>28</v>
      </c>
      <c r="AC84" s="207">
        <v>28</v>
      </c>
      <c r="AD84" s="184">
        <v>29</v>
      </c>
      <c r="AE84" s="248"/>
      <c r="AF84">
        <f t="shared" si="12"/>
        <v>342</v>
      </c>
    </row>
    <row r="85" spans="1:32" ht="24">
      <c r="A85" s="25"/>
      <c r="B85" s="93" t="s">
        <v>221</v>
      </c>
      <c r="C85" s="46" t="s">
        <v>14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294">
        <v>130</v>
      </c>
      <c r="O85" s="237"/>
      <c r="P85" s="207"/>
      <c r="Q85" s="207"/>
      <c r="R85" s="207"/>
      <c r="S85" s="237"/>
      <c r="T85" s="207"/>
      <c r="U85" s="207"/>
      <c r="V85" s="207"/>
      <c r="W85" s="237">
        <v>98</v>
      </c>
      <c r="X85" s="207">
        <v>32</v>
      </c>
      <c r="Y85" s="207">
        <v>32</v>
      </c>
      <c r="Z85" s="207">
        <v>34</v>
      </c>
      <c r="AA85" s="237">
        <v>32</v>
      </c>
      <c r="AB85" s="207">
        <v>10</v>
      </c>
      <c r="AC85" s="207">
        <v>10</v>
      </c>
      <c r="AD85" s="184">
        <v>12</v>
      </c>
      <c r="AE85" s="248"/>
      <c r="AF85">
        <f t="shared" si="12"/>
        <v>130</v>
      </c>
    </row>
    <row r="86" spans="1:32" ht="36">
      <c r="A86" s="25"/>
      <c r="B86" s="93" t="s">
        <v>222</v>
      </c>
      <c r="C86" s="46" t="s">
        <v>14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294">
        <v>352</v>
      </c>
      <c r="O86" s="237"/>
      <c r="P86" s="207"/>
      <c r="Q86" s="207"/>
      <c r="R86" s="207"/>
      <c r="S86" s="237"/>
      <c r="T86" s="207"/>
      <c r="U86" s="207"/>
      <c r="V86" s="207"/>
      <c r="W86" s="237">
        <v>352</v>
      </c>
      <c r="X86" s="207">
        <v>117</v>
      </c>
      <c r="Y86" s="207">
        <v>117</v>
      </c>
      <c r="Z86" s="207">
        <v>118</v>
      </c>
      <c r="AA86" s="237"/>
      <c r="AB86" s="207"/>
      <c r="AC86" s="207"/>
      <c r="AD86" s="184"/>
      <c r="AE86" s="248"/>
      <c r="AF86">
        <f t="shared" si="12"/>
        <v>352</v>
      </c>
    </row>
    <row r="87" spans="1:32" s="278" customFormat="1" ht="24">
      <c r="A87" s="275"/>
      <c r="B87" s="276" t="s">
        <v>223</v>
      </c>
      <c r="C87" s="277" t="s">
        <v>14</v>
      </c>
      <c r="D87" s="277" t="s">
        <v>89</v>
      </c>
      <c r="E87" s="277" t="s">
        <v>23</v>
      </c>
      <c r="F87" s="277" t="s">
        <v>23</v>
      </c>
      <c r="G87" s="277" t="s">
        <v>165</v>
      </c>
      <c r="H87" s="277" t="s">
        <v>38</v>
      </c>
      <c r="I87" s="277" t="s">
        <v>16</v>
      </c>
      <c r="J87" s="277" t="s">
        <v>91</v>
      </c>
      <c r="K87" s="295">
        <v>367.1</v>
      </c>
      <c r="O87" s="237"/>
      <c r="P87" s="279"/>
      <c r="Q87" s="279"/>
      <c r="R87" s="279"/>
      <c r="S87" s="237"/>
      <c r="T87" s="279"/>
      <c r="U87" s="279"/>
      <c r="V87" s="279"/>
      <c r="W87" s="237">
        <v>367.1</v>
      </c>
      <c r="X87" s="279">
        <v>122</v>
      </c>
      <c r="Y87" s="279">
        <v>122</v>
      </c>
      <c r="Z87" s="279">
        <v>123.1</v>
      </c>
      <c r="AA87" s="237"/>
      <c r="AB87" s="279"/>
      <c r="AC87" s="279"/>
      <c r="AD87" s="286"/>
      <c r="AE87" s="280"/>
      <c r="AF87">
        <f t="shared" si="12"/>
        <v>367.1</v>
      </c>
    </row>
    <row r="88" spans="1:32" s="278" customFormat="1" ht="24">
      <c r="A88" s="281"/>
      <c r="B88" s="282" t="s">
        <v>228</v>
      </c>
      <c r="C88" s="283" t="s">
        <v>14</v>
      </c>
      <c r="D88" s="283" t="s">
        <v>89</v>
      </c>
      <c r="E88" s="283" t="s">
        <v>23</v>
      </c>
      <c r="F88" s="283" t="s">
        <v>77</v>
      </c>
      <c r="G88" s="283" t="s">
        <v>229</v>
      </c>
      <c r="H88" s="283" t="s">
        <v>38</v>
      </c>
      <c r="I88" s="283" t="s">
        <v>16</v>
      </c>
      <c r="J88" s="283" t="s">
        <v>91</v>
      </c>
      <c r="K88" s="284">
        <v>1000</v>
      </c>
      <c r="O88" s="232"/>
      <c r="P88" s="285"/>
      <c r="Q88" s="285"/>
      <c r="R88" s="285"/>
      <c r="S88" s="232"/>
      <c r="T88" s="285"/>
      <c r="U88" s="285"/>
      <c r="V88" s="285"/>
      <c r="W88" s="232">
        <v>1000</v>
      </c>
      <c r="X88" s="285">
        <v>333</v>
      </c>
      <c r="Y88" s="285">
        <v>333</v>
      </c>
      <c r="Z88" s="285">
        <v>334</v>
      </c>
      <c r="AA88" s="232"/>
      <c r="AB88" s="279"/>
      <c r="AC88" s="279"/>
      <c r="AD88" s="286"/>
      <c r="AE88" s="280"/>
      <c r="AF88">
        <f t="shared" si="12"/>
        <v>1000</v>
      </c>
    </row>
    <row r="89" spans="1:32" s="119" customFormat="1" ht="24">
      <c r="A89" s="287"/>
      <c r="B89" s="288" t="s">
        <v>227</v>
      </c>
      <c r="C89" s="289" t="s">
        <v>14</v>
      </c>
      <c r="D89" s="289" t="s">
        <v>89</v>
      </c>
      <c r="E89" s="289" t="s">
        <v>23</v>
      </c>
      <c r="F89" s="289" t="s">
        <v>23</v>
      </c>
      <c r="G89" s="289" t="s">
        <v>232</v>
      </c>
      <c r="H89" s="289" t="s">
        <v>38</v>
      </c>
      <c r="I89" s="289" t="s">
        <v>16</v>
      </c>
      <c r="J89" s="289" t="s">
        <v>91</v>
      </c>
      <c r="K89" s="290">
        <f>1002+999+551+845</f>
        <v>3397</v>
      </c>
      <c r="O89" s="291">
        <v>1002</v>
      </c>
      <c r="P89" s="292">
        <v>1002</v>
      </c>
      <c r="Q89" s="292"/>
      <c r="R89" s="292"/>
      <c r="S89" s="291">
        <f>999+551</f>
        <v>1550</v>
      </c>
      <c r="T89" s="292">
        <v>333</v>
      </c>
      <c r="U89" s="292">
        <v>333</v>
      </c>
      <c r="V89" s="292">
        <f>333+551</f>
        <v>884</v>
      </c>
      <c r="W89" s="291">
        <v>845</v>
      </c>
      <c r="X89" s="292"/>
      <c r="Y89" s="292"/>
      <c r="Z89" s="292">
        <v>845</v>
      </c>
      <c r="AA89" s="291"/>
      <c r="AB89" s="186"/>
      <c r="AC89" s="186"/>
      <c r="AD89" s="186"/>
      <c r="AE89" s="293"/>
      <c r="AF89">
        <f t="shared" si="12"/>
        <v>3397</v>
      </c>
    </row>
    <row r="90" spans="1:32" s="119" customFormat="1" ht="24">
      <c r="A90" s="287"/>
      <c r="B90" s="288" t="s">
        <v>233</v>
      </c>
      <c r="C90" s="289" t="s">
        <v>14</v>
      </c>
      <c r="D90" s="289" t="s">
        <v>89</v>
      </c>
      <c r="E90" s="289" t="s">
        <v>23</v>
      </c>
      <c r="F90" s="289" t="s">
        <v>23</v>
      </c>
      <c r="G90" s="289" t="s">
        <v>234</v>
      </c>
      <c r="H90" s="289" t="s">
        <v>38</v>
      </c>
      <c r="I90" s="289" t="s">
        <v>16</v>
      </c>
      <c r="J90" s="289" t="s">
        <v>91</v>
      </c>
      <c r="K90" s="290">
        <v>1105</v>
      </c>
      <c r="O90" s="291"/>
      <c r="P90" s="292"/>
      <c r="Q90" s="292"/>
      <c r="R90" s="292"/>
      <c r="S90" s="291"/>
      <c r="T90" s="292"/>
      <c r="U90" s="292"/>
      <c r="V90" s="292"/>
      <c r="W90" s="291">
        <v>552.5</v>
      </c>
      <c r="X90" s="292"/>
      <c r="Y90" s="292">
        <v>184</v>
      </c>
      <c r="Z90" s="292">
        <v>368.5</v>
      </c>
      <c r="AA90" s="291">
        <v>552.5</v>
      </c>
      <c r="AB90" s="307">
        <v>184</v>
      </c>
      <c r="AC90" s="307">
        <v>184</v>
      </c>
      <c r="AD90" s="307">
        <v>184.5</v>
      </c>
      <c r="AE90" s="293"/>
      <c r="AF90"/>
    </row>
    <row r="91" spans="1:32" ht="12.75">
      <c r="A91" s="26" t="s">
        <v>44</v>
      </c>
      <c r="B91" s="105" t="s">
        <v>131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45">
        <f>K93+K94+K95+K96+K92</f>
        <v>27641</v>
      </c>
      <c r="L91" s="45">
        <f aca="true" t="shared" si="14" ref="L91:AD91">L93+L94+L95+L96+L92</f>
        <v>0</v>
      </c>
      <c r="M91" s="45">
        <f t="shared" si="14"/>
        <v>0</v>
      </c>
      <c r="N91" s="45">
        <f t="shared" si="14"/>
        <v>0</v>
      </c>
      <c r="O91" s="216">
        <f t="shared" si="14"/>
        <v>8839</v>
      </c>
      <c r="P91" s="45">
        <f t="shared" si="14"/>
        <v>2945</v>
      </c>
      <c r="Q91" s="45">
        <f t="shared" si="14"/>
        <v>2945</v>
      </c>
      <c r="R91" s="45">
        <f t="shared" si="14"/>
        <v>2949</v>
      </c>
      <c r="S91" s="216">
        <f t="shared" si="14"/>
        <v>5619</v>
      </c>
      <c r="T91" s="45">
        <f t="shared" si="14"/>
        <v>1871</v>
      </c>
      <c r="U91" s="45">
        <f t="shared" si="14"/>
        <v>1871</v>
      </c>
      <c r="V91" s="45">
        <f t="shared" si="14"/>
        <v>1877</v>
      </c>
      <c r="W91" s="216">
        <f t="shared" si="14"/>
        <v>7925</v>
      </c>
      <c r="X91" s="45">
        <f t="shared" si="14"/>
        <v>2641</v>
      </c>
      <c r="Y91" s="45">
        <f t="shared" si="14"/>
        <v>2641</v>
      </c>
      <c r="Z91" s="45">
        <f t="shared" si="14"/>
        <v>2643</v>
      </c>
      <c r="AA91" s="216">
        <f t="shared" si="14"/>
        <v>5258</v>
      </c>
      <c r="AB91" s="45">
        <f t="shared" si="14"/>
        <v>1751</v>
      </c>
      <c r="AC91" s="45">
        <f t="shared" si="14"/>
        <v>1751</v>
      </c>
      <c r="AD91" s="45">
        <f t="shared" si="14"/>
        <v>1994</v>
      </c>
      <c r="AE91" s="248">
        <f t="shared" si="2"/>
        <v>50024</v>
      </c>
      <c r="AF91">
        <f t="shared" si="12"/>
        <v>27641</v>
      </c>
    </row>
    <row r="92" spans="1:32" ht="12.75">
      <c r="A92" s="26"/>
      <c r="B92" s="105" t="s">
        <v>214</v>
      </c>
      <c r="C92" s="69" t="s">
        <v>198</v>
      </c>
      <c r="D92" s="69" t="s">
        <v>89</v>
      </c>
      <c r="E92" s="69" t="s">
        <v>23</v>
      </c>
      <c r="F92" s="69" t="s">
        <v>77</v>
      </c>
      <c r="G92" s="69" t="s">
        <v>199</v>
      </c>
      <c r="H92" s="69" t="s">
        <v>38</v>
      </c>
      <c r="I92" s="69" t="s">
        <v>16</v>
      </c>
      <c r="J92" s="69" t="s">
        <v>91</v>
      </c>
      <c r="K92" s="45">
        <v>120</v>
      </c>
      <c r="L92" s="268"/>
      <c r="M92" s="268"/>
      <c r="N92" s="268"/>
      <c r="O92" s="245"/>
      <c r="P92" s="189"/>
      <c r="Q92" s="189"/>
      <c r="R92" s="189"/>
      <c r="S92" s="245"/>
      <c r="T92" s="189"/>
      <c r="U92" s="189"/>
      <c r="V92" s="189"/>
      <c r="W92" s="245">
        <v>120</v>
      </c>
      <c r="X92" s="189">
        <v>40</v>
      </c>
      <c r="Y92" s="189">
        <v>40</v>
      </c>
      <c r="Z92" s="189">
        <v>40</v>
      </c>
      <c r="AA92" s="245"/>
      <c r="AB92" s="249"/>
      <c r="AC92" s="249"/>
      <c r="AD92" s="249"/>
      <c r="AE92" s="248"/>
      <c r="AF92">
        <f t="shared" si="12"/>
        <v>120</v>
      </c>
    </row>
    <row r="93" spans="1:32" ht="12.75">
      <c r="A93" s="26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166</v>
      </c>
      <c r="H93" s="70" t="s">
        <v>42</v>
      </c>
      <c r="I93" s="70" t="s">
        <v>16</v>
      </c>
      <c r="J93" s="70" t="s">
        <v>91</v>
      </c>
      <c r="K93" s="101">
        <v>50</v>
      </c>
      <c r="O93" s="214"/>
      <c r="P93" s="184"/>
      <c r="Q93" s="184"/>
      <c r="R93" s="184"/>
      <c r="S93" s="214">
        <v>50</v>
      </c>
      <c r="T93" s="184">
        <v>16</v>
      </c>
      <c r="U93" s="184">
        <v>16</v>
      </c>
      <c r="V93" s="184">
        <v>18</v>
      </c>
      <c r="W93" s="214"/>
      <c r="X93" s="184"/>
      <c r="Y93" s="184"/>
      <c r="Z93" s="184"/>
      <c r="AA93" s="237"/>
      <c r="AB93" s="184"/>
      <c r="AC93" s="184"/>
      <c r="AD93" s="184"/>
      <c r="AE93" s="248">
        <f t="shared" si="2"/>
        <v>100</v>
      </c>
      <c r="AF93">
        <f t="shared" si="12"/>
        <v>50</v>
      </c>
    </row>
    <row r="94" spans="1:32" ht="12.75">
      <c r="A94" s="26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166</v>
      </c>
      <c r="H94" s="70" t="s">
        <v>42</v>
      </c>
      <c r="I94" s="70" t="s">
        <v>16</v>
      </c>
      <c r="J94" s="70" t="s">
        <v>91</v>
      </c>
      <c r="K94" s="101">
        <v>80</v>
      </c>
      <c r="O94" s="214"/>
      <c r="P94" s="184"/>
      <c r="Q94" s="184"/>
      <c r="R94" s="184"/>
      <c r="S94" s="214">
        <v>20</v>
      </c>
      <c r="T94" s="184">
        <v>6</v>
      </c>
      <c r="U94" s="184">
        <v>6</v>
      </c>
      <c r="V94" s="184">
        <v>8</v>
      </c>
      <c r="W94" s="214">
        <v>40</v>
      </c>
      <c r="X94" s="184">
        <v>13</v>
      </c>
      <c r="Y94" s="184">
        <v>13</v>
      </c>
      <c r="Z94" s="184">
        <v>14</v>
      </c>
      <c r="AA94" s="237">
        <v>20</v>
      </c>
      <c r="AB94" s="184">
        <v>6</v>
      </c>
      <c r="AC94" s="184">
        <v>6</v>
      </c>
      <c r="AD94" s="184">
        <v>8</v>
      </c>
      <c r="AE94" s="248">
        <f>SUM(O94:AD94)</f>
        <v>160</v>
      </c>
      <c r="AF94">
        <f t="shared" si="12"/>
        <v>80</v>
      </c>
    </row>
    <row r="95" spans="1:32" ht="12.75">
      <c r="A95" s="26"/>
      <c r="B95" s="77" t="s">
        <v>132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166</v>
      </c>
      <c r="H95" s="70" t="s">
        <v>42</v>
      </c>
      <c r="I95" s="70" t="s">
        <v>16</v>
      </c>
      <c r="J95" s="70" t="s">
        <v>91</v>
      </c>
      <c r="K95" s="101">
        <v>3391</v>
      </c>
      <c r="O95" s="214">
        <v>1025</v>
      </c>
      <c r="P95" s="184">
        <v>341</v>
      </c>
      <c r="Q95" s="184">
        <v>341</v>
      </c>
      <c r="R95" s="184">
        <v>343</v>
      </c>
      <c r="S95" s="214">
        <v>789</v>
      </c>
      <c r="T95" s="184">
        <v>263</v>
      </c>
      <c r="U95" s="184">
        <v>263</v>
      </c>
      <c r="V95" s="184">
        <v>263</v>
      </c>
      <c r="W95" s="214">
        <v>553</v>
      </c>
      <c r="X95" s="184">
        <v>184</v>
      </c>
      <c r="Y95" s="184">
        <v>184</v>
      </c>
      <c r="Z95" s="184">
        <v>185</v>
      </c>
      <c r="AA95" s="237">
        <v>1024</v>
      </c>
      <c r="AB95" s="184">
        <v>341</v>
      </c>
      <c r="AC95" s="184">
        <v>341</v>
      </c>
      <c r="AD95" s="184">
        <v>342</v>
      </c>
      <c r="AE95" s="248">
        <f>SUM(O95:AD95)</f>
        <v>6782</v>
      </c>
      <c r="AF95">
        <f t="shared" si="12"/>
        <v>3391</v>
      </c>
    </row>
    <row r="96" spans="1:32" ht="12.75">
      <c r="A96" s="26"/>
      <c r="B96" s="77" t="s">
        <v>96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166</v>
      </c>
      <c r="H96" s="70" t="s">
        <v>42</v>
      </c>
      <c r="I96" s="70" t="s">
        <v>16</v>
      </c>
      <c r="J96" s="70" t="s">
        <v>91</v>
      </c>
      <c r="K96" s="101">
        <f>19000+5000</f>
        <v>24000</v>
      </c>
      <c r="O96" s="214">
        <v>7814</v>
      </c>
      <c r="P96" s="184">
        <v>2604</v>
      </c>
      <c r="Q96" s="184">
        <v>2604</v>
      </c>
      <c r="R96" s="184">
        <v>2606</v>
      </c>
      <c r="S96" s="214">
        <v>4760</v>
      </c>
      <c r="T96" s="184">
        <v>1586</v>
      </c>
      <c r="U96" s="184">
        <v>1586</v>
      </c>
      <c r="V96" s="184">
        <v>1588</v>
      </c>
      <c r="W96" s="214">
        <f>5712+1500</f>
        <v>7212</v>
      </c>
      <c r="X96" s="184">
        <f>1904+500</f>
        <v>2404</v>
      </c>
      <c r="Y96" s="184">
        <f>1904+500</f>
        <v>2404</v>
      </c>
      <c r="Z96" s="184">
        <f>1904+500</f>
        <v>2404</v>
      </c>
      <c r="AA96" s="237">
        <f>714+3500</f>
        <v>4214</v>
      </c>
      <c r="AB96" s="184">
        <f>238+1166</f>
        <v>1404</v>
      </c>
      <c r="AC96" s="184">
        <f>238+1166</f>
        <v>1404</v>
      </c>
      <c r="AD96" s="184">
        <f>238+1406</f>
        <v>1644</v>
      </c>
      <c r="AE96" s="248">
        <f t="shared" si="2"/>
        <v>43786</v>
      </c>
      <c r="AF96">
        <f t="shared" si="12"/>
        <v>24000</v>
      </c>
    </row>
    <row r="97" spans="1:32" ht="12.75">
      <c r="A97" s="97"/>
      <c r="B97" s="98" t="s">
        <v>135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166</v>
      </c>
      <c r="H97" s="70" t="s">
        <v>42</v>
      </c>
      <c r="I97" s="70" t="s">
        <v>16</v>
      </c>
      <c r="J97" s="70" t="s">
        <v>91</v>
      </c>
      <c r="K97" s="99"/>
      <c r="O97" s="214"/>
      <c r="P97" s="184"/>
      <c r="Q97" s="184"/>
      <c r="R97" s="184"/>
      <c r="S97" s="214"/>
      <c r="T97" s="184"/>
      <c r="U97" s="184"/>
      <c r="V97" s="184"/>
      <c r="W97" s="214"/>
      <c r="X97" s="184"/>
      <c r="Y97" s="184"/>
      <c r="Z97" s="184"/>
      <c r="AA97" s="237"/>
      <c r="AB97" s="184"/>
      <c r="AC97" s="184"/>
      <c r="AD97" s="184"/>
      <c r="AE97" s="248">
        <f aca="true" t="shared" si="15" ref="AE97:AE112">SUM(O97:AA97)</f>
        <v>0</v>
      </c>
      <c r="AF97">
        <f t="shared" si="12"/>
        <v>0</v>
      </c>
    </row>
    <row r="98" spans="1:32" ht="62.25" customHeight="1" thickBot="1">
      <c r="A98" s="27" t="s">
        <v>97</v>
      </c>
      <c r="B98" s="296" t="s">
        <v>130</v>
      </c>
      <c r="C98" s="71" t="s">
        <v>14</v>
      </c>
      <c r="D98" s="71" t="s">
        <v>89</v>
      </c>
      <c r="E98" s="71" t="s">
        <v>23</v>
      </c>
      <c r="F98" s="71" t="s">
        <v>77</v>
      </c>
      <c r="G98" s="71" t="s">
        <v>166</v>
      </c>
      <c r="H98" s="71" t="s">
        <v>42</v>
      </c>
      <c r="I98" s="71" t="s">
        <v>16</v>
      </c>
      <c r="J98" s="71" t="s">
        <v>91</v>
      </c>
      <c r="K98" s="106">
        <v>1274</v>
      </c>
      <c r="O98" s="214">
        <f>349-29</f>
        <v>320</v>
      </c>
      <c r="P98" s="184">
        <v>106</v>
      </c>
      <c r="Q98" s="184">
        <v>106</v>
      </c>
      <c r="R98" s="184">
        <v>108</v>
      </c>
      <c r="S98" s="214">
        <f>349-31.5</f>
        <v>317.5</v>
      </c>
      <c r="T98" s="184">
        <v>105</v>
      </c>
      <c r="U98" s="184">
        <v>105</v>
      </c>
      <c r="V98" s="184">
        <v>107.5</v>
      </c>
      <c r="W98" s="214">
        <f>350-31.5</f>
        <v>318.5</v>
      </c>
      <c r="X98" s="184">
        <v>105</v>
      </c>
      <c r="Y98" s="184">
        <v>105</v>
      </c>
      <c r="Z98" s="184">
        <v>108.5</v>
      </c>
      <c r="AA98" s="237">
        <f>349-31</f>
        <v>318</v>
      </c>
      <c r="AB98" s="184">
        <v>105</v>
      </c>
      <c r="AC98" s="184">
        <v>105</v>
      </c>
      <c r="AD98" s="184">
        <v>108</v>
      </c>
      <c r="AE98" s="248">
        <f>SUM(O98:AD98)</f>
        <v>2548</v>
      </c>
      <c r="AF98">
        <f t="shared" si="12"/>
        <v>1274</v>
      </c>
    </row>
    <row r="99" spans="1:32" ht="24.75" thickBot="1">
      <c r="A99" s="32" t="s">
        <v>50</v>
      </c>
      <c r="B99" s="297" t="s">
        <v>150</v>
      </c>
      <c r="C99" s="71" t="s">
        <v>14</v>
      </c>
      <c r="D99" s="71" t="s">
        <v>89</v>
      </c>
      <c r="E99" s="71" t="s">
        <v>23</v>
      </c>
      <c r="F99" s="71" t="s">
        <v>77</v>
      </c>
      <c r="G99" s="71" t="s">
        <v>166</v>
      </c>
      <c r="H99" s="71" t="s">
        <v>42</v>
      </c>
      <c r="I99" s="71" t="s">
        <v>16</v>
      </c>
      <c r="J99" s="71" t="s">
        <v>91</v>
      </c>
      <c r="K99" s="107">
        <v>1831</v>
      </c>
      <c r="O99" s="214"/>
      <c r="P99" s="184"/>
      <c r="Q99" s="184"/>
      <c r="R99" s="184"/>
      <c r="S99" s="214"/>
      <c r="T99" s="184"/>
      <c r="U99" s="184"/>
      <c r="V99" s="184"/>
      <c r="W99" s="214">
        <v>0</v>
      </c>
      <c r="X99" s="184"/>
      <c r="Y99" s="184"/>
      <c r="Z99" s="184"/>
      <c r="AA99" s="237">
        <v>1831.2</v>
      </c>
      <c r="AB99" s="184">
        <v>610</v>
      </c>
      <c r="AC99" s="184">
        <v>610</v>
      </c>
      <c r="AD99" s="184">
        <v>611.2</v>
      </c>
      <c r="AE99" s="248">
        <f t="shared" si="15"/>
        <v>1831.2</v>
      </c>
      <c r="AF99">
        <f t="shared" si="12"/>
        <v>1831.2</v>
      </c>
    </row>
    <row r="100" spans="1:32" ht="36">
      <c r="A100" s="253"/>
      <c r="B100" s="288" t="s">
        <v>224</v>
      </c>
      <c r="C100" s="231" t="s">
        <v>196</v>
      </c>
      <c r="D100" s="231" t="s">
        <v>89</v>
      </c>
      <c r="E100" s="231" t="s">
        <v>23</v>
      </c>
      <c r="F100" s="231" t="s">
        <v>42</v>
      </c>
      <c r="G100" s="231" t="s">
        <v>159</v>
      </c>
      <c r="H100" s="231" t="s">
        <v>38</v>
      </c>
      <c r="I100" s="231" t="s">
        <v>16</v>
      </c>
      <c r="J100" s="231" t="s">
        <v>91</v>
      </c>
      <c r="K100" s="255">
        <v>1392</v>
      </c>
      <c r="O100" s="232"/>
      <c r="P100" s="181"/>
      <c r="Q100" s="181"/>
      <c r="R100" s="181"/>
      <c r="S100" s="232">
        <v>493</v>
      </c>
      <c r="T100" s="181">
        <v>164</v>
      </c>
      <c r="U100" s="181">
        <v>164</v>
      </c>
      <c r="V100" s="181">
        <v>165</v>
      </c>
      <c r="W100" s="232">
        <v>342</v>
      </c>
      <c r="X100" s="181">
        <v>114</v>
      </c>
      <c r="Y100" s="181">
        <v>114</v>
      </c>
      <c r="Z100" s="181">
        <v>114</v>
      </c>
      <c r="AA100" s="232">
        <v>557</v>
      </c>
      <c r="AB100" s="184">
        <v>185</v>
      </c>
      <c r="AC100" s="184">
        <v>185</v>
      </c>
      <c r="AD100" s="184">
        <v>187</v>
      </c>
      <c r="AE100" s="248"/>
      <c r="AF100">
        <f t="shared" si="12"/>
        <v>1392</v>
      </c>
    </row>
    <row r="101" spans="1:32" ht="36">
      <c r="A101" s="253"/>
      <c r="B101" s="288" t="s">
        <v>230</v>
      </c>
      <c r="C101" s="231" t="s">
        <v>196</v>
      </c>
      <c r="D101" s="231" t="s">
        <v>89</v>
      </c>
      <c r="E101" s="231" t="s">
        <v>23</v>
      </c>
      <c r="F101" s="231" t="s">
        <v>42</v>
      </c>
      <c r="G101" s="231" t="s">
        <v>159</v>
      </c>
      <c r="H101" s="231" t="s">
        <v>38</v>
      </c>
      <c r="I101" s="231" t="s">
        <v>16</v>
      </c>
      <c r="J101" s="231" t="s">
        <v>91</v>
      </c>
      <c r="K101" s="255">
        <v>169</v>
      </c>
      <c r="O101" s="232"/>
      <c r="P101" s="181"/>
      <c r="Q101" s="181"/>
      <c r="R101" s="181"/>
      <c r="S101" s="232">
        <v>57</v>
      </c>
      <c r="T101" s="181">
        <v>19</v>
      </c>
      <c r="U101" s="181">
        <v>19</v>
      </c>
      <c r="V101" s="181">
        <v>19</v>
      </c>
      <c r="W101" s="232">
        <v>38</v>
      </c>
      <c r="X101" s="181">
        <v>12</v>
      </c>
      <c r="Y101" s="181">
        <v>12</v>
      </c>
      <c r="Z101" s="181">
        <v>14</v>
      </c>
      <c r="AA101" s="232">
        <v>74</v>
      </c>
      <c r="AB101" s="184">
        <v>24</v>
      </c>
      <c r="AC101" s="184">
        <v>24</v>
      </c>
      <c r="AD101" s="184">
        <v>26</v>
      </c>
      <c r="AE101" s="248"/>
      <c r="AF101">
        <f t="shared" si="12"/>
        <v>169</v>
      </c>
    </row>
    <row r="102" spans="1:32" ht="12.75">
      <c r="A102" s="236"/>
      <c r="B102" s="269" t="s">
        <v>194</v>
      </c>
      <c r="C102" s="231" t="s">
        <v>14</v>
      </c>
      <c r="D102" s="231" t="s">
        <v>89</v>
      </c>
      <c r="E102" s="231" t="s">
        <v>23</v>
      </c>
      <c r="F102" s="231" t="s">
        <v>77</v>
      </c>
      <c r="G102" s="231" t="s">
        <v>195</v>
      </c>
      <c r="H102" s="231" t="s">
        <v>38</v>
      </c>
      <c r="I102" s="231" t="s">
        <v>16</v>
      </c>
      <c r="J102" s="231" t="s">
        <v>91</v>
      </c>
      <c r="K102" s="233">
        <f>15000-3500-1000</f>
        <v>10500</v>
      </c>
      <c r="O102" s="232">
        <v>3050</v>
      </c>
      <c r="P102" s="181">
        <v>1166</v>
      </c>
      <c r="Q102" s="181">
        <v>1166</v>
      </c>
      <c r="R102" s="181">
        <v>718</v>
      </c>
      <c r="S102" s="232">
        <f>4000-550-400</f>
        <v>3050</v>
      </c>
      <c r="T102" s="181">
        <f>1333-183-133</f>
        <v>1017</v>
      </c>
      <c r="U102" s="181">
        <f>1333-183-133</f>
        <v>1017</v>
      </c>
      <c r="V102" s="181">
        <v>1016</v>
      </c>
      <c r="W102" s="232">
        <f>5500-100-1000</f>
        <v>4400</v>
      </c>
      <c r="X102" s="181">
        <f>1833-33-333</f>
        <v>1467</v>
      </c>
      <c r="Y102" s="181">
        <f>1833-33-333</f>
        <v>1467</v>
      </c>
      <c r="Z102" s="181">
        <f>1800-334</f>
        <v>1466</v>
      </c>
      <c r="AA102" s="232">
        <f>2000+1000-3000</f>
        <v>0</v>
      </c>
      <c r="AB102" s="184">
        <f>666-666</f>
        <v>0</v>
      </c>
      <c r="AC102" s="184">
        <f>666-666</f>
        <v>0</v>
      </c>
      <c r="AD102" s="184">
        <f>668-668</f>
        <v>0</v>
      </c>
      <c r="AE102" s="248">
        <f t="shared" si="15"/>
        <v>21000</v>
      </c>
      <c r="AF102">
        <f t="shared" si="12"/>
        <v>10500</v>
      </c>
    </row>
    <row r="103" spans="1:32" ht="12.75">
      <c r="A103" s="253"/>
      <c r="B103" s="254"/>
      <c r="C103" s="231"/>
      <c r="D103" s="231"/>
      <c r="E103" s="231"/>
      <c r="F103" s="231"/>
      <c r="G103" s="231"/>
      <c r="H103" s="231"/>
      <c r="I103" s="231"/>
      <c r="J103" s="231"/>
      <c r="K103" s="255"/>
      <c r="O103" s="232"/>
      <c r="P103" s="181"/>
      <c r="Q103" s="181"/>
      <c r="R103" s="181"/>
      <c r="S103" s="232"/>
      <c r="T103" s="181"/>
      <c r="U103" s="181"/>
      <c r="V103" s="181"/>
      <c r="W103" s="232"/>
      <c r="X103" s="181"/>
      <c r="Y103" s="181"/>
      <c r="Z103" s="181"/>
      <c r="AA103" s="232"/>
      <c r="AB103" s="184"/>
      <c r="AC103" s="184"/>
      <c r="AD103" s="184"/>
      <c r="AE103" s="248"/>
      <c r="AF103">
        <f t="shared" si="12"/>
        <v>0</v>
      </c>
    </row>
    <row r="104" spans="1:32" ht="12.75">
      <c r="A104" s="253"/>
      <c r="B104" s="254"/>
      <c r="C104" s="231"/>
      <c r="D104" s="231"/>
      <c r="E104" s="231"/>
      <c r="F104" s="231"/>
      <c r="G104" s="231"/>
      <c r="H104" s="231"/>
      <c r="I104" s="231"/>
      <c r="J104" s="231"/>
      <c r="K104" s="255"/>
      <c r="O104" s="232"/>
      <c r="P104" s="181"/>
      <c r="Q104" s="181"/>
      <c r="R104" s="181"/>
      <c r="S104" s="232"/>
      <c r="T104" s="181"/>
      <c r="U104" s="181"/>
      <c r="V104" s="181"/>
      <c r="W104" s="232"/>
      <c r="X104" s="181"/>
      <c r="Y104" s="181"/>
      <c r="Z104" s="181"/>
      <c r="AA104" s="232"/>
      <c r="AB104" s="184"/>
      <c r="AC104" s="184"/>
      <c r="AD104" s="184"/>
      <c r="AE104" s="248"/>
      <c r="AF104">
        <f t="shared" si="12"/>
        <v>0</v>
      </c>
    </row>
    <row r="105" spans="1:32" ht="12.75">
      <c r="A105" s="253"/>
      <c r="B105" s="254"/>
      <c r="C105" s="231"/>
      <c r="D105" s="231"/>
      <c r="E105" s="231"/>
      <c r="F105" s="231"/>
      <c r="G105" s="231"/>
      <c r="H105" s="231"/>
      <c r="I105" s="231"/>
      <c r="J105" s="231"/>
      <c r="K105" s="255"/>
      <c r="O105" s="232"/>
      <c r="P105" s="181"/>
      <c r="Q105" s="181"/>
      <c r="R105" s="181"/>
      <c r="S105" s="232"/>
      <c r="T105" s="181"/>
      <c r="U105" s="181"/>
      <c r="V105" s="181"/>
      <c r="W105" s="232"/>
      <c r="X105" s="181"/>
      <c r="Y105" s="181"/>
      <c r="Z105" s="181"/>
      <c r="AA105" s="232"/>
      <c r="AB105" s="184"/>
      <c r="AC105" s="184"/>
      <c r="AD105" s="184"/>
      <c r="AE105" s="248"/>
      <c r="AF105">
        <f t="shared" si="12"/>
        <v>0</v>
      </c>
    </row>
    <row r="106" spans="1:32" ht="13.5" thickBot="1">
      <c r="A106" s="253"/>
      <c r="B106" s="254"/>
      <c r="C106" s="231"/>
      <c r="D106" s="231"/>
      <c r="E106" s="231"/>
      <c r="F106" s="231"/>
      <c r="G106" s="231"/>
      <c r="H106" s="231"/>
      <c r="I106" s="231"/>
      <c r="J106" s="231"/>
      <c r="K106" s="255"/>
      <c r="O106" s="232"/>
      <c r="P106" s="181"/>
      <c r="Q106" s="181"/>
      <c r="R106" s="181"/>
      <c r="S106" s="232"/>
      <c r="T106" s="181"/>
      <c r="U106" s="181"/>
      <c r="V106" s="181"/>
      <c r="W106" s="232"/>
      <c r="X106" s="181"/>
      <c r="Y106" s="181"/>
      <c r="Z106" s="181"/>
      <c r="AA106" s="232"/>
      <c r="AB106" s="184"/>
      <c r="AC106" s="184"/>
      <c r="AD106" s="184"/>
      <c r="AE106" s="248"/>
      <c r="AF106">
        <f t="shared" si="12"/>
        <v>0</v>
      </c>
    </row>
    <row r="107" spans="1:32" ht="25.5">
      <c r="A107" s="235" t="s">
        <v>98</v>
      </c>
      <c r="B107" s="234" t="s">
        <v>167</v>
      </c>
      <c r="C107" s="72" t="s">
        <v>14</v>
      </c>
      <c r="D107" s="72" t="s">
        <v>99</v>
      </c>
      <c r="E107" s="72" t="s">
        <v>15</v>
      </c>
      <c r="F107" s="72" t="s">
        <v>15</v>
      </c>
      <c r="G107" s="72" t="s">
        <v>14</v>
      </c>
      <c r="H107" s="72" t="s">
        <v>15</v>
      </c>
      <c r="I107" s="72" t="s">
        <v>16</v>
      </c>
      <c r="J107" s="72" t="s">
        <v>14</v>
      </c>
      <c r="K107" s="134">
        <f>K109+K111</f>
        <v>13259.2</v>
      </c>
      <c r="L107" s="43">
        <f>L109+L111</f>
        <v>0</v>
      </c>
      <c r="M107" s="43">
        <f>M109+M111</f>
        <v>0</v>
      </c>
      <c r="N107" s="43">
        <f>N109+N111</f>
        <v>0</v>
      </c>
      <c r="O107" s="219">
        <f>O109+O111</f>
        <v>2607</v>
      </c>
      <c r="P107" s="43">
        <f aca="true" t="shared" si="16" ref="P107:AD107">P109+P111</f>
        <v>869</v>
      </c>
      <c r="Q107" s="43">
        <f t="shared" si="16"/>
        <v>869</v>
      </c>
      <c r="R107" s="43">
        <f t="shared" si="16"/>
        <v>869</v>
      </c>
      <c r="S107" s="219">
        <f t="shared" si="16"/>
        <v>2916.6</v>
      </c>
      <c r="T107" s="43">
        <f t="shared" si="16"/>
        <v>869</v>
      </c>
      <c r="U107" s="43">
        <f t="shared" si="16"/>
        <v>869</v>
      </c>
      <c r="V107" s="43">
        <f t="shared" si="16"/>
        <v>1178.6</v>
      </c>
      <c r="W107" s="219">
        <f t="shared" si="16"/>
        <v>4895.4</v>
      </c>
      <c r="X107" s="43">
        <f t="shared" si="16"/>
        <v>2760.1</v>
      </c>
      <c r="Y107" s="43">
        <f t="shared" si="16"/>
        <v>1059</v>
      </c>
      <c r="Z107" s="43">
        <f t="shared" si="16"/>
        <v>1076.3</v>
      </c>
      <c r="AA107" s="239">
        <f t="shared" si="16"/>
        <v>2840.2</v>
      </c>
      <c r="AB107" s="249">
        <f t="shared" si="16"/>
        <v>947</v>
      </c>
      <c r="AC107" s="249">
        <f t="shared" si="16"/>
        <v>947</v>
      </c>
      <c r="AD107" s="249">
        <f t="shared" si="16"/>
        <v>946.2</v>
      </c>
      <c r="AE107" s="248">
        <f t="shared" si="15"/>
        <v>23678.2</v>
      </c>
      <c r="AF107">
        <f t="shared" si="12"/>
        <v>13259.199999999999</v>
      </c>
    </row>
    <row r="108" spans="1:32" ht="12.75">
      <c r="A108" s="26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108">
        <f>K109</f>
        <v>8445.5</v>
      </c>
      <c r="L108" s="108">
        <f>L109</f>
        <v>0</v>
      </c>
      <c r="M108" s="108">
        <f>M109</f>
        <v>0</v>
      </c>
      <c r="N108" s="108">
        <f>N109</f>
        <v>0</v>
      </c>
      <c r="O108" s="225">
        <f>O109</f>
        <v>1900</v>
      </c>
      <c r="P108" s="108">
        <f aca="true" t="shared" si="17" ref="P108:AD108">P109</f>
        <v>633</v>
      </c>
      <c r="Q108" s="108">
        <f t="shared" si="17"/>
        <v>633</v>
      </c>
      <c r="R108" s="108">
        <f t="shared" si="17"/>
        <v>634</v>
      </c>
      <c r="S108" s="225">
        <f t="shared" si="17"/>
        <v>1926</v>
      </c>
      <c r="T108" s="108">
        <f t="shared" si="17"/>
        <v>633</v>
      </c>
      <c r="U108" s="108">
        <f t="shared" si="17"/>
        <v>633</v>
      </c>
      <c r="V108" s="108">
        <f t="shared" si="17"/>
        <v>660</v>
      </c>
      <c r="W108" s="225">
        <f t="shared" si="17"/>
        <v>2487.3</v>
      </c>
      <c r="X108" s="108">
        <f t="shared" si="17"/>
        <v>823</v>
      </c>
      <c r="Y108" s="108">
        <f t="shared" si="17"/>
        <v>823</v>
      </c>
      <c r="Z108" s="108">
        <f t="shared" si="17"/>
        <v>841.3</v>
      </c>
      <c r="AA108" s="246">
        <f t="shared" si="17"/>
        <v>2132.2</v>
      </c>
      <c r="AB108" s="252">
        <f t="shared" si="17"/>
        <v>711</v>
      </c>
      <c r="AC108" s="252">
        <f t="shared" si="17"/>
        <v>711</v>
      </c>
      <c r="AD108" s="252">
        <f t="shared" si="17"/>
        <v>710.2</v>
      </c>
      <c r="AE108" s="248">
        <f t="shared" si="15"/>
        <v>14758.8</v>
      </c>
      <c r="AF108">
        <f t="shared" si="12"/>
        <v>8445.5</v>
      </c>
    </row>
    <row r="109" spans="1:32" ht="24">
      <c r="A109" s="25" t="s">
        <v>102</v>
      </c>
      <c r="B109" s="137" t="s">
        <v>168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144">
        <f>7833+26+502.3+85-0.8</f>
        <v>8445.5</v>
      </c>
      <c r="O109" s="214">
        <v>1900</v>
      </c>
      <c r="P109" s="184">
        <v>633</v>
      </c>
      <c r="Q109" s="184">
        <v>633</v>
      </c>
      <c r="R109" s="184">
        <v>634</v>
      </c>
      <c r="S109" s="214">
        <f>1900+26</f>
        <v>1926</v>
      </c>
      <c r="T109" s="184">
        <v>633</v>
      </c>
      <c r="U109" s="184">
        <v>633</v>
      </c>
      <c r="V109" s="184">
        <f>634+26</f>
        <v>660</v>
      </c>
      <c r="W109" s="214">
        <f>1900+502.3+85</f>
        <v>2487.3</v>
      </c>
      <c r="X109" s="184">
        <f>633+167+23</f>
        <v>823</v>
      </c>
      <c r="Y109" s="184">
        <f>633+167+23</f>
        <v>823</v>
      </c>
      <c r="Z109" s="184">
        <f>634+168.3+39</f>
        <v>841.3</v>
      </c>
      <c r="AA109" s="237">
        <f>7833-1900-1900-1900-0.8</f>
        <v>2132.2</v>
      </c>
      <c r="AB109" s="184">
        <v>711</v>
      </c>
      <c r="AC109" s="184">
        <v>711</v>
      </c>
      <c r="AD109" s="184">
        <f>711-0.8</f>
        <v>710.2</v>
      </c>
      <c r="AE109" s="248">
        <f>SUM(O109:AD109)</f>
        <v>16891</v>
      </c>
      <c r="AF109">
        <f t="shared" si="12"/>
        <v>8445.5</v>
      </c>
    </row>
    <row r="110" spans="1:32" ht="24.75" thickBot="1">
      <c r="A110" s="27" t="s">
        <v>36</v>
      </c>
      <c r="B110" s="34" t="s">
        <v>103</v>
      </c>
      <c r="C110" s="71" t="s">
        <v>14</v>
      </c>
      <c r="D110" s="71" t="s">
        <v>99</v>
      </c>
      <c r="E110" s="71" t="s">
        <v>42</v>
      </c>
      <c r="F110" s="71" t="s">
        <v>15</v>
      </c>
      <c r="G110" s="71" t="s">
        <v>14</v>
      </c>
      <c r="H110" s="71" t="s">
        <v>15</v>
      </c>
      <c r="I110" s="71" t="s">
        <v>16</v>
      </c>
      <c r="J110" s="71" t="s">
        <v>86</v>
      </c>
      <c r="K110" s="108">
        <f>K111</f>
        <v>4813.7</v>
      </c>
      <c r="L110" s="108">
        <f>L111</f>
        <v>0</v>
      </c>
      <c r="M110" s="108">
        <f>M111</f>
        <v>0</v>
      </c>
      <c r="N110" s="108">
        <f>N111</f>
        <v>0</v>
      </c>
      <c r="O110" s="225">
        <f>O111</f>
        <v>707</v>
      </c>
      <c r="P110" s="108">
        <f aca="true" t="shared" si="18" ref="P110:AD110">P111</f>
        <v>236</v>
      </c>
      <c r="Q110" s="108">
        <f t="shared" si="18"/>
        <v>236</v>
      </c>
      <c r="R110" s="108">
        <f t="shared" si="18"/>
        <v>235</v>
      </c>
      <c r="S110" s="225">
        <f t="shared" si="18"/>
        <v>990.6</v>
      </c>
      <c r="T110" s="108">
        <f t="shared" si="18"/>
        <v>236</v>
      </c>
      <c r="U110" s="108">
        <f t="shared" si="18"/>
        <v>236</v>
      </c>
      <c r="V110" s="108">
        <f t="shared" si="18"/>
        <v>518.5999999999999</v>
      </c>
      <c r="W110" s="225">
        <f t="shared" si="18"/>
        <v>2408.1</v>
      </c>
      <c r="X110" s="108">
        <f t="shared" si="18"/>
        <v>1937.1</v>
      </c>
      <c r="Y110" s="108">
        <f t="shared" si="18"/>
        <v>236</v>
      </c>
      <c r="Z110" s="108">
        <f t="shared" si="18"/>
        <v>235</v>
      </c>
      <c r="AA110" s="246">
        <f t="shared" si="18"/>
        <v>708</v>
      </c>
      <c r="AB110" s="252">
        <f t="shared" si="18"/>
        <v>236</v>
      </c>
      <c r="AC110" s="252">
        <f t="shared" si="18"/>
        <v>236</v>
      </c>
      <c r="AD110" s="252">
        <f t="shared" si="18"/>
        <v>236</v>
      </c>
      <c r="AE110" s="248">
        <f t="shared" si="15"/>
        <v>8919.4</v>
      </c>
      <c r="AF110">
        <f t="shared" si="12"/>
        <v>4813.7</v>
      </c>
    </row>
    <row r="111" spans="1:32" ht="24.75" thickBot="1">
      <c r="A111" s="125" t="s">
        <v>39</v>
      </c>
      <c r="B111" s="138" t="s">
        <v>169</v>
      </c>
      <c r="C111" s="139" t="s">
        <v>14</v>
      </c>
      <c r="D111" s="139" t="s">
        <v>99</v>
      </c>
      <c r="E111" s="139" t="s">
        <v>42</v>
      </c>
      <c r="F111" s="139" t="s">
        <v>23</v>
      </c>
      <c r="G111" s="139" t="s">
        <v>159</v>
      </c>
      <c r="H111" s="139" t="s">
        <v>38</v>
      </c>
      <c r="I111" s="139" t="s">
        <v>16</v>
      </c>
      <c r="J111" s="139" t="s">
        <v>86</v>
      </c>
      <c r="K111" s="120">
        <f>2829+283.6+1701.1</f>
        <v>4813.7</v>
      </c>
      <c r="O111" s="214">
        <v>707</v>
      </c>
      <c r="P111" s="184">
        <v>236</v>
      </c>
      <c r="Q111" s="184">
        <v>236</v>
      </c>
      <c r="R111" s="184">
        <v>235</v>
      </c>
      <c r="S111" s="214">
        <v>990.6</v>
      </c>
      <c r="T111" s="184">
        <v>236</v>
      </c>
      <c r="U111" s="184">
        <v>236</v>
      </c>
      <c r="V111" s="184">
        <f>235+283.8-0.2</f>
        <v>518.5999999999999</v>
      </c>
      <c r="W111" s="214">
        <f>707+1701.1</f>
        <v>2408.1</v>
      </c>
      <c r="X111" s="184">
        <f>236+1701.1</f>
        <v>1937.1</v>
      </c>
      <c r="Y111" s="184">
        <v>236</v>
      </c>
      <c r="Z111" s="184">
        <v>235</v>
      </c>
      <c r="AA111" s="237">
        <f>2829-707-707-707</f>
        <v>708</v>
      </c>
      <c r="AB111" s="184">
        <v>236</v>
      </c>
      <c r="AC111" s="184">
        <v>236</v>
      </c>
      <c r="AD111" s="184">
        <v>236</v>
      </c>
      <c r="AE111" s="248">
        <f t="shared" si="15"/>
        <v>8919.4</v>
      </c>
      <c r="AF111">
        <f t="shared" si="12"/>
        <v>4813.7</v>
      </c>
    </row>
    <row r="112" spans="1:32" ht="13.5" thickBot="1">
      <c r="A112" s="35"/>
      <c r="B112" s="94" t="s">
        <v>104</v>
      </c>
      <c r="C112" s="50"/>
      <c r="D112" s="50"/>
      <c r="E112" s="50"/>
      <c r="F112" s="50"/>
      <c r="G112" s="50"/>
      <c r="H112" s="50"/>
      <c r="I112" s="50"/>
      <c r="J112" s="50"/>
      <c r="K112" s="51">
        <f aca="true" t="shared" si="19" ref="K112:AD112">K23+K67+K107</f>
        <v>279626.60000000003</v>
      </c>
      <c r="L112" s="51">
        <f t="shared" si="19"/>
        <v>96011</v>
      </c>
      <c r="M112" s="51">
        <f t="shared" si="19"/>
        <v>92773</v>
      </c>
      <c r="N112" s="51">
        <f t="shared" si="19"/>
        <v>93228</v>
      </c>
      <c r="O112" s="226">
        <f t="shared" si="19"/>
        <v>66930</v>
      </c>
      <c r="P112" s="51">
        <f t="shared" si="19"/>
        <v>23970</v>
      </c>
      <c r="Q112" s="51">
        <f t="shared" si="19"/>
        <v>24055</v>
      </c>
      <c r="R112" s="51">
        <f t="shared" si="19"/>
        <v>18905</v>
      </c>
      <c r="S112" s="226">
        <f t="shared" si="19"/>
        <v>72843.70000000001</v>
      </c>
      <c r="T112" s="51">
        <f t="shared" si="19"/>
        <v>21978</v>
      </c>
      <c r="U112" s="51">
        <f t="shared" si="19"/>
        <v>21070</v>
      </c>
      <c r="V112" s="51">
        <f t="shared" si="19"/>
        <v>29795.699999999997</v>
      </c>
      <c r="W112" s="226">
        <f t="shared" si="19"/>
        <v>63881.200000000004</v>
      </c>
      <c r="X112" s="51">
        <f t="shared" si="19"/>
        <v>22835.1</v>
      </c>
      <c r="Y112" s="51">
        <f t="shared" si="19"/>
        <v>20353</v>
      </c>
      <c r="Z112" s="51">
        <f t="shared" si="19"/>
        <v>20483.1</v>
      </c>
      <c r="AA112" s="247">
        <f t="shared" si="19"/>
        <v>75972.09999999999</v>
      </c>
      <c r="AB112" s="249">
        <f t="shared" si="19"/>
        <v>24924</v>
      </c>
      <c r="AC112" s="249">
        <f t="shared" si="19"/>
        <v>25384</v>
      </c>
      <c r="AD112" s="249">
        <f t="shared" si="19"/>
        <v>25595.100000000002</v>
      </c>
      <c r="AE112" s="248">
        <f t="shared" si="15"/>
        <v>483071.89999999997</v>
      </c>
      <c r="AF112">
        <f t="shared" si="12"/>
        <v>279627</v>
      </c>
    </row>
    <row r="113" spans="15:27" ht="12.75">
      <c r="O113" s="210">
        <f>SUM(P112:R112)</f>
        <v>66930</v>
      </c>
      <c r="S113" s="210">
        <f>SUM(T112:V112)</f>
        <v>72843.7</v>
      </c>
      <c r="W113" s="210">
        <f>SUM(X112:Z112)</f>
        <v>63671.2</v>
      </c>
      <c r="AA113" s="210">
        <f>SUM(AB112:AD112)</f>
        <v>75903.1</v>
      </c>
    </row>
    <row r="114" ht="12.75">
      <c r="K114">
        <f>O112+S112+W112+AA112</f>
        <v>279627</v>
      </c>
    </row>
  </sheetData>
  <mergeCells count="5">
    <mergeCell ref="A42:A43"/>
    <mergeCell ref="A11:K11"/>
    <mergeCell ref="B12:K12"/>
    <mergeCell ref="C16:J20"/>
    <mergeCell ref="C21:J21"/>
  </mergeCells>
  <printOptions/>
  <pageMargins left="0.19" right="0.17" top="0.3" bottom="0.28" header="0.26" footer="0.23"/>
  <pageSetup fitToHeight="1" fitToWidth="1" horizontalDpi="600" verticalDpi="600" orientation="portrait" paperSize="9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G117"/>
  <sheetViews>
    <sheetView workbookViewId="0" topLeftCell="B7">
      <pane xSplit="8670" topLeftCell="G2" activePane="topLeft" state="split"/>
      <selection pane="topLeft" activeCell="B32" sqref="B32"/>
      <selection pane="topRight" activeCell="K23" sqref="K23"/>
    </sheetView>
  </sheetViews>
  <sheetFormatPr defaultColWidth="9.00390625" defaultRowHeight="12.75"/>
  <cols>
    <col min="1" max="1" width="5.25390625" style="0" customWidth="1"/>
    <col min="2" max="2" width="79.37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6.00390625" style="0" customWidth="1"/>
    <col min="12" max="14" width="9.125" style="0" hidden="1" customWidth="1"/>
    <col min="15" max="15" width="0" style="210" hidden="1" customWidth="1"/>
    <col min="16" max="18" width="0" style="0" hidden="1" customWidth="1"/>
    <col min="19" max="19" width="0" style="210" hidden="1" customWidth="1"/>
    <col min="20" max="22" width="0" style="0" hidden="1" customWidth="1"/>
    <col min="23" max="23" width="0" style="210" hidden="1" customWidth="1"/>
    <col min="24" max="26" width="0" style="0" hidden="1" customWidth="1"/>
    <col min="27" max="27" width="0" style="210" hidden="1" customWidth="1"/>
    <col min="28" max="33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1" ht="12.75">
      <c r="A2" s="1"/>
      <c r="B2" s="1"/>
      <c r="C2" s="2"/>
      <c r="D2" s="2"/>
      <c r="E2" s="2"/>
      <c r="F2" s="2"/>
      <c r="G2" s="2"/>
      <c r="H2" s="146" t="s">
        <v>172</v>
      </c>
      <c r="I2" s="146"/>
      <c r="J2" s="146"/>
      <c r="K2" s="147"/>
    </row>
    <row r="3" spans="1:11" ht="12.75">
      <c r="A3" s="1"/>
      <c r="B3" s="1"/>
      <c r="C3" s="2"/>
      <c r="D3" s="2"/>
      <c r="E3" s="2"/>
      <c r="F3" s="2"/>
      <c r="G3" s="2"/>
      <c r="H3" s="146" t="s">
        <v>173</v>
      </c>
      <c r="I3" s="146"/>
      <c r="J3" s="146"/>
      <c r="K3" s="147"/>
    </row>
    <row r="4" spans="1:11" ht="12.75">
      <c r="A4" s="1"/>
      <c r="B4" s="1"/>
      <c r="C4" s="2"/>
      <c r="D4" s="2"/>
      <c r="E4" s="2"/>
      <c r="F4" s="2"/>
      <c r="G4" s="2"/>
      <c r="H4" s="146" t="s">
        <v>174</v>
      </c>
      <c r="I4" s="146"/>
      <c r="J4" s="146"/>
      <c r="K4" s="147"/>
    </row>
    <row r="5" spans="1:11" ht="12.75">
      <c r="A5" s="1"/>
      <c r="B5" s="1"/>
      <c r="C5" s="2"/>
      <c r="D5" s="2"/>
      <c r="E5" s="2"/>
      <c r="F5" s="2"/>
      <c r="G5" s="2"/>
      <c r="H5" s="146" t="s">
        <v>175</v>
      </c>
      <c r="I5" s="146"/>
      <c r="J5" s="146"/>
      <c r="K5" s="147"/>
    </row>
    <row r="6" spans="1:11" ht="12.75">
      <c r="A6" s="1"/>
      <c r="B6" s="1"/>
      <c r="C6" s="2"/>
      <c r="D6" s="2"/>
      <c r="E6" s="2"/>
      <c r="F6" s="2"/>
      <c r="G6" s="2"/>
      <c r="H6" s="421" t="s">
        <v>235</v>
      </c>
      <c r="I6" s="421"/>
      <c r="J6" s="421"/>
      <c r="K6" s="421"/>
    </row>
    <row r="7" spans="1:11" ht="12.75">
      <c r="A7" s="1"/>
      <c r="B7" s="1"/>
      <c r="C7" s="2"/>
      <c r="D7" s="2"/>
      <c r="E7" s="2"/>
      <c r="F7" s="2"/>
      <c r="G7" s="2"/>
      <c r="H7" s="146" t="s">
        <v>210</v>
      </c>
      <c r="I7" s="146"/>
      <c r="J7" s="146"/>
      <c r="K7" s="147"/>
    </row>
    <row r="8" spans="1:11" ht="12.75">
      <c r="A8" s="1"/>
      <c r="B8" s="1"/>
      <c r="C8" s="2"/>
      <c r="D8" s="2"/>
      <c r="E8" s="2"/>
      <c r="F8" s="2"/>
      <c r="G8" s="2"/>
      <c r="H8" s="146" t="s">
        <v>211</v>
      </c>
      <c r="I8" s="146"/>
      <c r="J8" s="146"/>
      <c r="K8" s="146"/>
    </row>
    <row r="9" spans="1:11" ht="12.75">
      <c r="A9" s="1"/>
      <c r="B9" s="1"/>
      <c r="C9" s="2"/>
      <c r="D9" s="2"/>
      <c r="E9" s="2"/>
      <c r="F9" s="2"/>
      <c r="G9" s="2"/>
      <c r="H9" s="146" t="s">
        <v>212</v>
      </c>
      <c r="I9" s="146"/>
      <c r="J9" s="146"/>
      <c r="K9" s="147"/>
    </row>
    <row r="10" spans="1:11" ht="12.75">
      <c r="A10" s="1"/>
      <c r="B10" s="1"/>
      <c r="C10" s="2"/>
      <c r="D10" s="2"/>
      <c r="E10" s="2"/>
      <c r="F10" s="2"/>
      <c r="G10" s="2"/>
      <c r="H10" s="146" t="s">
        <v>213</v>
      </c>
      <c r="I10" s="146"/>
      <c r="J10" s="146"/>
      <c r="K10" s="146"/>
    </row>
    <row r="11" spans="1:11" ht="12.75">
      <c r="A11" s="403" t="s">
        <v>231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/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4"/>
      <c r="K16" s="168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11"/>
      <c r="AB16" s="176"/>
      <c r="AC16" s="176"/>
      <c r="AD16" s="177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6"/>
      <c r="K17" s="169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12"/>
      <c r="AB17" s="179"/>
      <c r="AC17" s="179"/>
      <c r="AD17" s="180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6"/>
      <c r="K18" s="170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12"/>
      <c r="AB18" s="179"/>
      <c r="AC18" s="179"/>
      <c r="AD18" s="180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6"/>
      <c r="K19" s="170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12"/>
      <c r="AB19" s="179"/>
      <c r="AC19" s="179"/>
      <c r="AD19" s="180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8"/>
      <c r="K20" s="169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13"/>
      <c r="AB20" s="182"/>
      <c r="AC20" s="182"/>
      <c r="AD20" s="183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0"/>
      <c r="K21" s="171">
        <v>4</v>
      </c>
      <c r="O21" s="258">
        <v>5</v>
      </c>
      <c r="P21" s="230">
        <v>6</v>
      </c>
      <c r="Q21" s="230">
        <v>7</v>
      </c>
      <c r="R21" s="230">
        <v>8</v>
      </c>
      <c r="S21" s="258">
        <v>9</v>
      </c>
      <c r="T21" s="230">
        <v>10</v>
      </c>
      <c r="U21" s="230">
        <v>11</v>
      </c>
      <c r="V21" s="230">
        <v>12</v>
      </c>
      <c r="W21" s="258">
        <v>13</v>
      </c>
      <c r="X21" s="230">
        <v>14</v>
      </c>
      <c r="Y21" s="230">
        <v>15</v>
      </c>
      <c r="Z21" s="230">
        <v>16</v>
      </c>
      <c r="AA21" s="258">
        <v>17</v>
      </c>
      <c r="AB21" s="230">
        <v>18</v>
      </c>
      <c r="AC21" s="230">
        <v>19</v>
      </c>
      <c r="AD21" s="230">
        <v>20</v>
      </c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3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148" t="s">
        <v>14</v>
      </c>
      <c r="K23" s="172">
        <f>'район для расчетов (не печатать'!K23+'Свод по посел.'!K23</f>
        <v>57530.4</v>
      </c>
      <c r="L23">
        <v>11399</v>
      </c>
      <c r="M23">
        <f>K23+L23</f>
        <v>68929.4</v>
      </c>
      <c r="O23" s="214">
        <f>'район для расчетов (не печатать'!O23+'Свод по посел.'!L23</f>
        <v>8916.5</v>
      </c>
      <c r="P23" s="184">
        <f>'район для расчетов (не печатать'!P23+'Свод по посел.'!P23</f>
        <v>2653</v>
      </c>
      <c r="Q23" s="184">
        <f>'район для расчетов (не печатать'!Q23+'Свод по посел.'!Q23</f>
        <v>3142</v>
      </c>
      <c r="R23" s="184">
        <f>'район для расчетов (не печатать'!R23+'Свод по посел.'!R23</f>
        <v>3104</v>
      </c>
      <c r="S23" s="214">
        <f>'район для расчетов (не печатать'!S23+'Свод по посел.'!S23</f>
        <v>9275</v>
      </c>
      <c r="T23" s="184">
        <f>'район для расчетов (не печатать'!T23+'Свод по посел.'!T23</f>
        <v>3682</v>
      </c>
      <c r="U23" s="184">
        <f>'район для расчетов (не печатать'!U23+'Свод по посел.'!U23</f>
        <v>2771</v>
      </c>
      <c r="V23" s="184">
        <f>'район для расчетов (не печатать'!V23+'Свод по посел.'!V23</f>
        <v>2822</v>
      </c>
      <c r="W23" s="214">
        <f>'район для расчетов (не печатать'!W23+'Свод по посел.'!W23</f>
        <v>12952</v>
      </c>
      <c r="X23" s="184">
        <f>'район для расчетов (не печатать'!X23+'Свод по посел.'!X23</f>
        <v>4869.5</v>
      </c>
      <c r="Y23" s="184">
        <f>'район для расчетов (не печатать'!Y23+'Свод по посел.'!Y23</f>
        <v>3941</v>
      </c>
      <c r="Z23" s="184">
        <f>'район для расчетов (не печатать'!Z23+'Свод по посел.'!Z23</f>
        <v>3931.5</v>
      </c>
      <c r="AA23" s="214">
        <f>'район для расчетов (не печатать'!AA23+'Свод по посел.'!AA23</f>
        <v>15957</v>
      </c>
      <c r="AB23" s="184">
        <f>'район для расчетов (не печатать'!AB23+'Свод по посел.'!AB23</f>
        <v>4881</v>
      </c>
      <c r="AC23" s="184">
        <f>'район для расчетов (не печатать'!AC23+'Свод по посел.'!AC23</f>
        <v>5425.5</v>
      </c>
      <c r="AD23" s="184">
        <f>'район для расчетов (не печатать'!AD23+'Свод по посел.'!AD23</f>
        <v>5391.5</v>
      </c>
      <c r="AE23" s="179">
        <f>O23+S23+W23+AA23</f>
        <v>47100.5</v>
      </c>
      <c r="AF23" s="179">
        <f>O23+S23+W23+AA23</f>
        <v>47100.5</v>
      </c>
      <c r="AG23" s="179"/>
    </row>
    <row r="24" spans="1:31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149" t="s">
        <v>14</v>
      </c>
      <c r="K24" s="172">
        <f>'район для расчетов (не печатать'!K24+'Свод по посел.'!K24</f>
        <v>42060.2</v>
      </c>
      <c r="O24" s="214">
        <f>'район для расчетов (не печатать'!O24+'Свод по посел.'!L24</f>
        <v>5968.5</v>
      </c>
      <c r="P24" s="184">
        <f>'район для расчетов (не печатать'!P24+'Свод по посел.'!P24</f>
        <v>1186</v>
      </c>
      <c r="Q24" s="184">
        <f>'район для расчетов (не печатать'!Q24+'Свод по посел.'!Q24</f>
        <v>2381</v>
      </c>
      <c r="R24" s="184">
        <f>'район для расчетов (не печатать'!R24+'Свод по посел.'!R24</f>
        <v>2384</v>
      </c>
      <c r="S24" s="214">
        <f>'район для расчетов (не печатать'!S24+'Свод по посел.'!S24</f>
        <v>5956</v>
      </c>
      <c r="T24" s="184">
        <f>'район для расчетов (не печатать'!T24+'Свод по посел.'!T24</f>
        <v>1962</v>
      </c>
      <c r="U24" s="184">
        <f>'район для расчетов (не печатать'!U24+'Свод по посел.'!U24</f>
        <v>1991</v>
      </c>
      <c r="V24" s="184">
        <f>'район для расчетов (не печатать'!V24+'Свод по посел.'!V24</f>
        <v>2003</v>
      </c>
      <c r="W24" s="214">
        <f>'район для расчетов (не печатать'!W24+'Свод по посел.'!W24</f>
        <v>9356</v>
      </c>
      <c r="X24" s="184">
        <f>'район для расчетов (не печатать'!X24+'Свод по посел.'!X24</f>
        <v>3096</v>
      </c>
      <c r="Y24" s="184">
        <f>'район для расчетов (не печатать'!Y24+'Свод по посел.'!Y24</f>
        <v>3126</v>
      </c>
      <c r="Z24" s="184">
        <f>'район для расчетов (не печатать'!Z24+'Свод по посел.'!Z24</f>
        <v>3134</v>
      </c>
      <c r="AA24" s="214">
        <f>'район для расчетов (не печатать'!AA24+'Свод по посел.'!AA24</f>
        <v>11945</v>
      </c>
      <c r="AB24" s="184">
        <f>'район для расчетов (не печатать'!AB24+'Свод по посел.'!AB24</f>
        <v>3096</v>
      </c>
      <c r="AC24" s="184">
        <f>'район для расчетов (не печатать'!AC24+'Свод по посел.'!AC24</f>
        <v>4415</v>
      </c>
      <c r="AD24" s="184">
        <f>'район для расчетов (не печатать'!AD24+'Свод по посел.'!AD24</f>
        <v>4515</v>
      </c>
      <c r="AE24" s="179">
        <f aca="true" t="shared" si="0" ref="AE24:AE87">O24+S24+W24+AA24</f>
        <v>33225.5</v>
      </c>
    </row>
    <row r="25" spans="1:31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149" t="s">
        <v>24</v>
      </c>
      <c r="K25" s="303">
        <f>'район для расчетов (не печатать'!K25+'Свод по посел.'!K25</f>
        <v>42060.2</v>
      </c>
      <c r="O25" s="214">
        <f>'район для расчетов (не печатать'!O25+'Свод по посел.'!L25</f>
        <v>5968.5</v>
      </c>
      <c r="P25" s="184">
        <f>'район для расчетов (не печатать'!P25+'Свод по посел.'!P25</f>
        <v>1186</v>
      </c>
      <c r="Q25" s="184">
        <f>'район для расчетов (не печатать'!Q25+'Свод по посел.'!Q25</f>
        <v>2381</v>
      </c>
      <c r="R25" s="184">
        <f>'район для расчетов (не печатать'!R25+'Свод по посел.'!R25</f>
        <v>2384</v>
      </c>
      <c r="S25" s="214">
        <f>'район для расчетов (не печатать'!S25+'Свод по посел.'!S25</f>
        <v>5956</v>
      </c>
      <c r="T25" s="184">
        <f>'район для расчетов (не печатать'!T25+'Свод по посел.'!T25</f>
        <v>1962</v>
      </c>
      <c r="U25" s="184">
        <f>'район для расчетов (не печатать'!U25+'Свод по посел.'!U25</f>
        <v>1991</v>
      </c>
      <c r="V25" s="184">
        <f>'район для расчетов (не печатать'!V25+'Свод по посел.'!V25</f>
        <v>2003</v>
      </c>
      <c r="W25" s="214">
        <f>'район для расчетов (не печатать'!W25+'Свод по посел.'!W25</f>
        <v>9356</v>
      </c>
      <c r="X25" s="184">
        <f>'район для расчетов (не печатать'!X25+'Свод по посел.'!X25</f>
        <v>3096</v>
      </c>
      <c r="Y25" s="184">
        <f>'район для расчетов (не печатать'!Y25+'Свод по посел.'!Y25</f>
        <v>3126</v>
      </c>
      <c r="Z25" s="184">
        <f>'район для расчетов (не печатать'!Z25+'Свод по посел.'!Z25</f>
        <v>3134</v>
      </c>
      <c r="AA25" s="214">
        <f>'район для расчетов (не печатать'!AA25+'Свод по посел.'!AA25</f>
        <v>11945</v>
      </c>
      <c r="AB25" s="184">
        <f>'район для расчетов (не печатать'!AB25+'Свод по посел.'!AB25</f>
        <v>3096</v>
      </c>
      <c r="AC25" s="184">
        <f>'район для расчетов (не печатать'!AC25+'Свод по посел.'!AC25</f>
        <v>4415</v>
      </c>
      <c r="AD25" s="184">
        <f>'район для расчетов (не печатать'!AD25+'Свод по посел.'!AD25</f>
        <v>4515</v>
      </c>
      <c r="AE25" s="179">
        <f t="shared" si="0"/>
        <v>33225.5</v>
      </c>
    </row>
    <row r="26" spans="1:31" ht="24.75" customHeight="1" hidden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150" t="s">
        <v>24</v>
      </c>
      <c r="K26" s="172">
        <f>'район для расчетов (не печатать'!K26+'Свод по посел.'!K26</f>
        <v>0</v>
      </c>
      <c r="O26" s="214">
        <f>'район для расчетов (не печатать'!O26+'Свод по посел.'!L26</f>
        <v>0</v>
      </c>
      <c r="P26" s="184">
        <f>'район для расчетов (не печатать'!P26+'Свод по посел.'!P26</f>
        <v>0</v>
      </c>
      <c r="Q26" s="184">
        <f>'район для расчетов (не печатать'!Q26+'Свод по посел.'!Q26</f>
        <v>0</v>
      </c>
      <c r="R26" s="184">
        <f>'район для расчетов (не печатать'!R26+'Свод по посел.'!R26</f>
        <v>0</v>
      </c>
      <c r="S26" s="214">
        <f>'район для расчетов (не печатать'!S26+'Свод по посел.'!S26</f>
        <v>0</v>
      </c>
      <c r="T26" s="184">
        <f>'район для расчетов (не печатать'!T26+'Свод по посел.'!T26</f>
        <v>0</v>
      </c>
      <c r="U26" s="184">
        <f>'район для расчетов (не печатать'!U26+'Свод по посел.'!U26</f>
        <v>0</v>
      </c>
      <c r="V26" s="184">
        <f>'район для расчетов (не печатать'!V26+'Свод по посел.'!V26</f>
        <v>0</v>
      </c>
      <c r="W26" s="214">
        <f>'район для расчетов (не печатать'!W26+'Свод по посел.'!W26</f>
        <v>0</v>
      </c>
      <c r="X26" s="184">
        <f>'район для расчетов (не печатать'!X26+'Свод по посел.'!X26</f>
        <v>0</v>
      </c>
      <c r="Y26" s="184">
        <f>'район для расчетов (не печатать'!Y26+'Свод по посел.'!Y26</f>
        <v>0</v>
      </c>
      <c r="Z26" s="184">
        <f>'район для расчетов (не печатать'!Z26+'Свод по посел.'!Z26</f>
        <v>0</v>
      </c>
      <c r="AA26" s="214">
        <f>'район для расчетов (не печатать'!AA26+'Свод по посел.'!AA26</f>
        <v>0</v>
      </c>
      <c r="AB26" s="184">
        <f>'район для расчетов (не печатать'!AB26+'Свод по посел.'!AB26</f>
        <v>0</v>
      </c>
      <c r="AC26" s="184">
        <f>'район для расчетов (не печатать'!AC26+'Свод по посел.'!AC26</f>
        <v>0</v>
      </c>
      <c r="AD26" s="184">
        <f>'район для расчетов (не печатать'!AD26+'Свод по посел.'!AD26</f>
        <v>0</v>
      </c>
      <c r="AE26" s="179">
        <f t="shared" si="0"/>
        <v>0</v>
      </c>
    </row>
    <row r="27" spans="1:31" ht="24.75" customHeight="1" hidden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150" t="s">
        <v>24</v>
      </c>
      <c r="K27" s="172">
        <f>'район для расчетов (не печатать'!K27+'Свод по посел.'!K27</f>
        <v>41990.2</v>
      </c>
      <c r="O27" s="214">
        <f>'район для расчетов (не печатать'!O27+'Свод по посел.'!L27</f>
        <v>5951</v>
      </c>
      <c r="P27" s="184">
        <f>'район для расчетов (не печатать'!P27+'Свод по посел.'!P27</f>
        <v>1186</v>
      </c>
      <c r="Q27" s="184">
        <f>'район для расчетов (не печатать'!Q27+'Свод по посел.'!Q27</f>
        <v>2381</v>
      </c>
      <c r="R27" s="184">
        <f>'район для расчетов (не печатать'!R27+'Свод по посел.'!R27</f>
        <v>2384</v>
      </c>
      <c r="S27" s="214">
        <f>'район для расчетов (не печатать'!S27+'Свод по посел.'!S27</f>
        <v>5956</v>
      </c>
      <c r="T27" s="184">
        <f>'район для расчетов (не печатать'!T27+'Свод по посел.'!T27</f>
        <v>1962</v>
      </c>
      <c r="U27" s="184">
        <f>'район для расчетов (не печатать'!U27+'Свод по посел.'!U27</f>
        <v>1991</v>
      </c>
      <c r="V27" s="184">
        <f>'район для расчетов (не печатать'!V27+'Свод по посел.'!V27</f>
        <v>2003</v>
      </c>
      <c r="W27" s="214">
        <f>'район для расчетов (не печатать'!W27+'Свод по посел.'!W27</f>
        <v>9356</v>
      </c>
      <c r="X27" s="184">
        <f>'район для расчетов (не печатать'!X27+'Свод по посел.'!X27</f>
        <v>3096</v>
      </c>
      <c r="Y27" s="184">
        <f>'район для расчетов (не печатать'!Y27+'Свод по посел.'!Y27</f>
        <v>3126</v>
      </c>
      <c r="Z27" s="184">
        <f>'район для расчетов (не печатать'!Z27+'Свод по посел.'!Z27</f>
        <v>3134</v>
      </c>
      <c r="AA27" s="214">
        <f>'район для расчетов (не печатать'!AA27+'Свод по посел.'!AA27</f>
        <v>11945</v>
      </c>
      <c r="AB27" s="184">
        <f>'район для расчетов (не печатать'!AB27+'Свод по посел.'!AB27</f>
        <v>3096</v>
      </c>
      <c r="AC27" s="184">
        <f>'район для расчетов (не печатать'!AC27+'Свод по посел.'!AC27</f>
        <v>4415</v>
      </c>
      <c r="AD27" s="184">
        <f>'район для расчетов (не печатать'!AD27+'Свод по посел.'!AD27</f>
        <v>4515</v>
      </c>
      <c r="AE27" s="179">
        <f t="shared" si="0"/>
        <v>33208</v>
      </c>
    </row>
    <row r="28" spans="1:31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150" t="s">
        <v>24</v>
      </c>
      <c r="K28" s="172">
        <f>'район для расчетов (не печатать'!K28+'Свод по посел.'!K28</f>
        <v>41910.2</v>
      </c>
      <c r="O28" s="214">
        <f>'район для расчетов (не печатать'!O28+'Свод по посел.'!L28</f>
        <v>5931</v>
      </c>
      <c r="P28" s="184">
        <f>'район для расчетов (не печатать'!P28+'Свод по посел.'!P28</f>
        <v>1182</v>
      </c>
      <c r="Q28" s="184">
        <f>'район для расчетов (не печатать'!Q28+'Свод по посел.'!Q28</f>
        <v>2373</v>
      </c>
      <c r="R28" s="184">
        <f>'район для расчетов (не печатать'!R28+'Свод по посел.'!R28</f>
        <v>2376</v>
      </c>
      <c r="S28" s="214">
        <f>'район для расчетов (не печатать'!S28+'Свод по посел.'!S28</f>
        <v>5936</v>
      </c>
      <c r="T28" s="184">
        <f>'район для расчетов (не печатать'!T28+'Свод по посел.'!T28</f>
        <v>1956</v>
      </c>
      <c r="U28" s="184">
        <f>'район для расчетов (не печатать'!U28+'Свод по посел.'!U28</f>
        <v>1985</v>
      </c>
      <c r="V28" s="184">
        <f>'район для расчетов (не печатать'!V28+'Свод по посел.'!V28</f>
        <v>1995</v>
      </c>
      <c r="W28" s="214">
        <f>'район для расчетов (не печатать'!W28+'Свод по посел.'!W28</f>
        <v>9336</v>
      </c>
      <c r="X28" s="184">
        <f>'район для расчетов (не печатать'!X28+'Свод по посел.'!X28</f>
        <v>3090</v>
      </c>
      <c r="Y28" s="184">
        <f>'район для расчетов (не печатать'!Y28+'Свод по посел.'!Y28</f>
        <v>3120</v>
      </c>
      <c r="Z28" s="184">
        <f>'район для расчетов (не печатать'!Z28+'Свод по посел.'!Z28</f>
        <v>3126</v>
      </c>
      <c r="AA28" s="214">
        <f>'район для расчетов (не печатать'!AA28+'Свод по посел.'!AA28</f>
        <v>11925</v>
      </c>
      <c r="AB28" s="184">
        <f>'район для расчетов (не печатать'!AB28+'Свод по посел.'!AB28</f>
        <v>3090</v>
      </c>
      <c r="AC28" s="184">
        <f>'район для расчетов (не печатать'!AC28+'Свод по посел.'!AC28</f>
        <v>4409</v>
      </c>
      <c r="AD28" s="184">
        <f>'район для расчетов (не печатать'!AD28+'Свод по посел.'!AD28</f>
        <v>4507</v>
      </c>
      <c r="AE28" s="179">
        <f t="shared" si="0"/>
        <v>33128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150" t="s">
        <v>24</v>
      </c>
      <c r="K29" s="172">
        <f>'район для расчетов (не печатать'!K29+'Свод по посел.'!K29</f>
        <v>150</v>
      </c>
      <c r="O29" s="214">
        <f>'район для расчетов (не печатать'!O29+'Свод по посел.'!L29</f>
        <v>37.5</v>
      </c>
      <c r="P29" s="184">
        <f>'район для расчетов (не печатать'!P29+'Свод по посел.'!P29</f>
        <v>4</v>
      </c>
      <c r="Q29" s="184">
        <f>'район для расчетов (не печатать'!Q29+'Свод по посел.'!Q29</f>
        <v>8</v>
      </c>
      <c r="R29" s="184">
        <f>'район для расчетов (не печатать'!R29+'Свод по посел.'!R29</f>
        <v>8</v>
      </c>
      <c r="S29" s="214">
        <f>'район для расчетов (не печатать'!S29+'Свод по посел.'!S29</f>
        <v>20</v>
      </c>
      <c r="T29" s="184">
        <f>'район для расчетов (не печатать'!T29+'Свод по посел.'!T29</f>
        <v>6</v>
      </c>
      <c r="U29" s="184">
        <f>'район для расчетов (не печатать'!U29+'Свод по посел.'!U29</f>
        <v>6</v>
      </c>
      <c r="V29" s="184">
        <f>'район для расчетов (не печатать'!V29+'Свод по посел.'!V29</f>
        <v>8</v>
      </c>
      <c r="W29" s="214">
        <f>'район для расчетов (не печатать'!W29+'Свод по посел.'!W29</f>
        <v>20</v>
      </c>
      <c r="X29" s="184">
        <f>'район для расчетов (не печатать'!X29+'Свод по посел.'!X29</f>
        <v>6</v>
      </c>
      <c r="Y29" s="184">
        <f>'район для расчетов (не печатать'!Y29+'Свод по посел.'!Y29</f>
        <v>6</v>
      </c>
      <c r="Z29" s="184">
        <f>'район для расчетов (не печатать'!Z29+'Свод по посел.'!Z29</f>
        <v>8</v>
      </c>
      <c r="AA29" s="214">
        <f>'район для расчетов (не печатать'!AA29+'Свод по посел.'!AA29</f>
        <v>20</v>
      </c>
      <c r="AB29" s="184">
        <f>'район для расчетов (не печатать'!AB29+'Свод по посел.'!AB29</f>
        <v>6</v>
      </c>
      <c r="AC29" s="184">
        <f>'район для расчетов (не печатать'!AC29+'Свод по посел.'!AC29</f>
        <v>6</v>
      </c>
      <c r="AD29" s="184">
        <f>'район для расчетов (не печатать'!AD29+'Свод по посел.'!AD29</f>
        <v>8</v>
      </c>
      <c r="AE29" s="179">
        <f t="shared" si="0"/>
        <v>97.5</v>
      </c>
    </row>
    <row r="30" spans="1:31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150" t="s">
        <v>24</v>
      </c>
      <c r="K30" s="172">
        <f>'район для расчетов (не печатать'!K30+'Свод по посел.'!K30</f>
        <v>0</v>
      </c>
      <c r="O30" s="214">
        <f>'район для расчетов (не печатать'!O30+'Свод по посел.'!L30</f>
        <v>0</v>
      </c>
      <c r="P30" s="184">
        <f>'район для расчетов (не печатать'!P30+'Свод по посел.'!P30</f>
        <v>0</v>
      </c>
      <c r="Q30" s="184">
        <f>'район для расчетов (не печатать'!Q30+'Свод по посел.'!Q30</f>
        <v>0</v>
      </c>
      <c r="R30" s="184">
        <f>'район для расчетов (не печатать'!R30+'Свод по посел.'!R30</f>
        <v>0</v>
      </c>
      <c r="S30" s="214">
        <f>'район для расчетов (не печатать'!S30+'Свод по посел.'!S30</f>
        <v>0</v>
      </c>
      <c r="T30" s="184">
        <f>'район для расчетов (не печатать'!T30+'Свод по посел.'!T30</f>
        <v>0</v>
      </c>
      <c r="U30" s="184">
        <f>'район для расчетов (не печатать'!U30+'Свод по посел.'!U30</f>
        <v>0</v>
      </c>
      <c r="V30" s="184">
        <f>'район для расчетов (не печатать'!V30+'Свод по посел.'!V30</f>
        <v>0</v>
      </c>
      <c r="W30" s="214">
        <f>'район для расчетов (не печатать'!W30+'Свод по посел.'!W30</f>
        <v>0</v>
      </c>
      <c r="X30" s="184">
        <f>'район для расчетов (не печатать'!X30+'Свод по посел.'!X30</f>
        <v>0</v>
      </c>
      <c r="Y30" s="184">
        <f>'район для расчетов (не печатать'!Y30+'Свод по посел.'!Y30</f>
        <v>0</v>
      </c>
      <c r="Z30" s="184">
        <f>'район для расчетов (не печатать'!Z30+'Свод по посел.'!Z30</f>
        <v>0</v>
      </c>
      <c r="AA30" s="214">
        <f>'район для расчетов (не печатать'!AA30+'Свод по посел.'!AA30</f>
        <v>0</v>
      </c>
      <c r="AB30" s="184">
        <f>'район для расчетов (не печатать'!AB30+'Свод по посел.'!AB30</f>
        <v>0</v>
      </c>
      <c r="AC30" s="184">
        <f>'район для расчетов (не печатать'!AC30+'Свод по посел.'!AC30</f>
        <v>0</v>
      </c>
      <c r="AD30" s="184">
        <f>'район для расчетов (не печатать'!AD30+'Свод по посел.'!AD30</f>
        <v>0</v>
      </c>
      <c r="AE30" s="179">
        <f t="shared" si="0"/>
        <v>0</v>
      </c>
    </row>
    <row r="31" spans="1:31" ht="13.5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148" t="s">
        <v>14</v>
      </c>
      <c r="K31" s="303">
        <f>K32+K34</f>
        <v>7000</v>
      </c>
      <c r="L31" s="172">
        <f aca="true" t="shared" si="1" ref="L31:AA31">L32+L34</f>
        <v>0</v>
      </c>
      <c r="M31" s="172">
        <f t="shared" si="1"/>
        <v>0</v>
      </c>
      <c r="N31" s="172">
        <f t="shared" si="1"/>
        <v>0</v>
      </c>
      <c r="O31" s="259">
        <f t="shared" si="1"/>
        <v>1700</v>
      </c>
      <c r="P31" s="259">
        <f t="shared" si="1"/>
        <v>1190</v>
      </c>
      <c r="Q31" s="259">
        <f t="shared" si="1"/>
        <v>340</v>
      </c>
      <c r="R31" s="259">
        <f t="shared" si="1"/>
        <v>170</v>
      </c>
      <c r="S31" s="259">
        <f t="shared" si="1"/>
        <v>1700</v>
      </c>
      <c r="T31" s="259">
        <f t="shared" si="1"/>
        <v>1190</v>
      </c>
      <c r="U31" s="259">
        <f t="shared" si="1"/>
        <v>340</v>
      </c>
      <c r="V31" s="259">
        <f t="shared" si="1"/>
        <v>170</v>
      </c>
      <c r="W31" s="259">
        <f t="shared" si="1"/>
        <v>1830</v>
      </c>
      <c r="X31" s="259">
        <f t="shared" si="1"/>
        <v>1320</v>
      </c>
      <c r="Y31" s="259">
        <f t="shared" si="1"/>
        <v>340</v>
      </c>
      <c r="Z31" s="259">
        <f t="shared" si="1"/>
        <v>170</v>
      </c>
      <c r="AA31" s="259">
        <f t="shared" si="1"/>
        <v>1770</v>
      </c>
      <c r="AB31" s="184">
        <f>'район для расчетов (не печатать'!AB31+'Свод по посел.'!AB31</f>
        <v>1213</v>
      </c>
      <c r="AC31" s="184">
        <f>'район для расчетов (не печатать'!AC31+'Свод по посел.'!AC31</f>
        <v>363</v>
      </c>
      <c r="AD31" s="184">
        <f>'район для расчетов (не печатать'!AD31+'Свод по посел.'!AD31</f>
        <v>194</v>
      </c>
      <c r="AE31" s="179">
        <f t="shared" si="0"/>
        <v>7000</v>
      </c>
    </row>
    <row r="32" spans="1:31" ht="13.5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150" t="s">
        <v>24</v>
      </c>
      <c r="K32" s="172">
        <f>'район для расчетов (не печатать'!K32+'Свод по посел.'!K32</f>
        <v>6800</v>
      </c>
      <c r="O32" s="214">
        <f>'район для расчетов (не печатать'!O32+'Свод по посел.'!L32</f>
        <v>1700</v>
      </c>
      <c r="P32" s="184">
        <f>'район для расчетов (не печатать'!P32+'Свод по посел.'!P32</f>
        <v>1190</v>
      </c>
      <c r="Q32" s="184">
        <f>'район для расчетов (не печатать'!Q32+'Свод по посел.'!Q32</f>
        <v>340</v>
      </c>
      <c r="R32" s="184">
        <f>'район для расчетов (не печатать'!R32+'Свод по посел.'!R32</f>
        <v>170</v>
      </c>
      <c r="S32" s="214">
        <f>'район для расчетов (не печатать'!S32+'Свод по посел.'!S32</f>
        <v>1700</v>
      </c>
      <c r="T32" s="184">
        <f>'район для расчетов (не печатать'!T32+'Свод по посел.'!T32</f>
        <v>1190</v>
      </c>
      <c r="U32" s="184">
        <f>'район для расчетов (не печатать'!U32+'Свод по посел.'!U32</f>
        <v>340</v>
      </c>
      <c r="V32" s="184">
        <f>'район для расчетов (не печатать'!V32+'Свод по посел.'!V32</f>
        <v>170</v>
      </c>
      <c r="W32" s="214">
        <f>'район для расчетов (не печатать'!W32+'Свод по посел.'!W32</f>
        <v>1700</v>
      </c>
      <c r="X32" s="184">
        <f>'район для расчетов (не печатать'!X32+'Свод по посел.'!X32</f>
        <v>1190</v>
      </c>
      <c r="Y32" s="184">
        <f>'район для расчетов (не печатать'!Y32+'Свод по посел.'!Y32</f>
        <v>340</v>
      </c>
      <c r="Z32" s="184">
        <f>'район для расчетов (не печатать'!Z32+'Свод по посел.'!Z32</f>
        <v>170</v>
      </c>
      <c r="AA32" s="214">
        <f>'район для расчетов (не печатать'!AA32+'Свод по посел.'!AA32</f>
        <v>1700</v>
      </c>
      <c r="AB32" s="184">
        <f>'район для расчетов (не печатать'!AB32+'Свод по посел.'!AB32</f>
        <v>1190</v>
      </c>
      <c r="AC32" s="184">
        <f>'район для расчетов (не печатать'!AC32+'Свод по посел.'!AC32</f>
        <v>340</v>
      </c>
      <c r="AD32" s="184">
        <f>'район для расчетов (не печатать'!AD32+'Свод по посел.'!AD32</f>
        <v>170</v>
      </c>
      <c r="AE32" s="179">
        <f t="shared" si="0"/>
        <v>6800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151" t="s">
        <v>24</v>
      </c>
      <c r="K33" s="172">
        <f>'район для расчетов (не печатать'!K33+'Свод по посел.'!K33</f>
        <v>0.7</v>
      </c>
      <c r="O33" s="214">
        <f>'район для расчетов (не печатать'!O33+'Свод по посел.'!L33</f>
        <v>0</v>
      </c>
      <c r="P33" s="184">
        <f>'район для расчетов (не печатать'!P33+'Свод по посел.'!P33</f>
        <v>0</v>
      </c>
      <c r="Q33" s="184">
        <f>'район для расчетов (не печатать'!Q33+'Свод по посел.'!Q33</f>
        <v>0</v>
      </c>
      <c r="R33" s="184">
        <f>'район для расчетов (не печатать'!R33+'Свод по посел.'!R33</f>
        <v>0</v>
      </c>
      <c r="S33" s="214">
        <f>'район для расчетов (не печатать'!S33+'Свод по посел.'!S33</f>
        <v>0</v>
      </c>
      <c r="T33" s="184">
        <f>'район для расчетов (не печатать'!T33+'Свод по посел.'!T33</f>
        <v>0</v>
      </c>
      <c r="U33" s="184">
        <f>'район для расчетов (не печатать'!U33+'Свод по посел.'!U33</f>
        <v>0</v>
      </c>
      <c r="V33" s="184">
        <f>'район для расчетов (не печатать'!V33+'Свод по посел.'!V33</f>
        <v>0</v>
      </c>
      <c r="W33" s="214">
        <f>'район для расчетов (не печатать'!W33+'Свод по посел.'!W33</f>
        <v>0</v>
      </c>
      <c r="X33" s="184">
        <f>'район для расчетов (не печатать'!X33+'Свод по посел.'!X33</f>
        <v>0</v>
      </c>
      <c r="Y33" s="184">
        <f>'район для расчетов (не печатать'!Y33+'Свод по посел.'!Y33</f>
        <v>0</v>
      </c>
      <c r="Z33" s="184">
        <f>'район для расчетов (не печатать'!Z33+'Свод по посел.'!Z33</f>
        <v>0</v>
      </c>
      <c r="AA33" s="214">
        <f>'район для расчетов (не печатать'!AA33+'Свод по посел.'!AA33</f>
        <v>0</v>
      </c>
      <c r="AB33" s="184">
        <f>'район для расчетов (не печатать'!AB33+'Свод по посел.'!AB33</f>
        <v>0</v>
      </c>
      <c r="AC33" s="184">
        <f>'район для расчетов (не печатать'!AC33+'Свод по посел.'!AC33</f>
        <v>0</v>
      </c>
      <c r="AD33" s="184">
        <f>'район для расчетов (не печатать'!AD33+'Свод по посел.'!AD33</f>
        <v>0</v>
      </c>
      <c r="AE33" s="179">
        <f t="shared" si="0"/>
        <v>0</v>
      </c>
    </row>
    <row r="34" spans="1:31" ht="13.5" thickBot="1">
      <c r="A34" s="271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8" t="s">
        <v>24</v>
      </c>
      <c r="K34" s="273">
        <v>200</v>
      </c>
      <c r="L34" s="111"/>
      <c r="N34" s="104"/>
      <c r="O34" s="232"/>
      <c r="P34" s="181"/>
      <c r="Q34" s="181"/>
      <c r="R34" s="181"/>
      <c r="S34" s="232"/>
      <c r="T34" s="181"/>
      <c r="U34" s="181"/>
      <c r="V34" s="181"/>
      <c r="W34" s="232">
        <v>130</v>
      </c>
      <c r="X34" s="181">
        <v>130</v>
      </c>
      <c r="Y34" s="181"/>
      <c r="Z34" s="181"/>
      <c r="AA34" s="232">
        <v>70</v>
      </c>
      <c r="AB34" s="184">
        <v>23</v>
      </c>
      <c r="AC34" s="184">
        <v>23</v>
      </c>
      <c r="AD34" s="184">
        <v>24</v>
      </c>
      <c r="AE34" s="179">
        <f t="shared" si="0"/>
        <v>200</v>
      </c>
    </row>
    <row r="35" spans="1:31" ht="13.5" thickBot="1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148" t="s">
        <v>14</v>
      </c>
      <c r="K35" s="303">
        <f>'район для расчетов (не печатать'!K35+'Свод по посел.'!K34</f>
        <v>1396.5</v>
      </c>
      <c r="O35" s="214">
        <f>'район для расчетов (не печатать'!O35+'Свод по посел.'!L34</f>
        <v>0</v>
      </c>
      <c r="P35" s="184">
        <f>'район для расчетов (не печатать'!P35+'Свод по посел.'!P34</f>
        <v>0</v>
      </c>
      <c r="Q35" s="184">
        <f>'район для расчетов (не печатать'!Q35+'Свод по посел.'!Q34</f>
        <v>0</v>
      </c>
      <c r="R35" s="184">
        <f>'район для расчетов (не печатать'!R35+'Свод по посел.'!R34</f>
        <v>0</v>
      </c>
      <c r="S35" s="214">
        <f>'район для расчетов (не печатать'!S35+'Свод по посел.'!S34</f>
        <v>30</v>
      </c>
      <c r="T35" s="184">
        <f>'район для расчетов (не печатать'!T35+'Свод по посел.'!T34</f>
        <v>30</v>
      </c>
      <c r="U35" s="184">
        <f>'район для расчетов (не печатать'!U35+'Свод по посел.'!U34</f>
        <v>0</v>
      </c>
      <c r="V35" s="184">
        <f>'район для расчетов (не печатать'!V35+'Свод по посел.'!V34</f>
        <v>0</v>
      </c>
      <c r="W35" s="214">
        <f>'район для расчетов (не печатать'!W35+'Свод по посел.'!W34</f>
        <v>88</v>
      </c>
      <c r="X35" s="184">
        <f>'район для расчетов (не печатать'!X35+'Свод по посел.'!X34</f>
        <v>1</v>
      </c>
      <c r="Y35" s="184">
        <f>'район для расчетов (не печатать'!Y35+'Свод по посел.'!Y34</f>
        <v>8</v>
      </c>
      <c r="Z35" s="184">
        <f>'район для расчетов (не печатать'!Z35+'Свод по посел.'!Z34</f>
        <v>79</v>
      </c>
      <c r="AA35" s="214">
        <f>'район для расчетов (не печатать'!AA35+'Свод по посел.'!AA34</f>
        <v>107</v>
      </c>
      <c r="AB35" s="184">
        <f>'район для расчетов (не печатать'!AB35+'Свод по посел.'!AB34</f>
        <v>12</v>
      </c>
      <c r="AC35" s="184">
        <f>'район для расчетов (не печатать'!AC35+'Свод по посел.'!AC34</f>
        <v>67.5</v>
      </c>
      <c r="AD35" s="184">
        <f>'район для расчетов (не печатать'!AD35+'Свод по посел.'!AD34</f>
        <v>27.5</v>
      </c>
      <c r="AE35" s="302">
        <f t="shared" si="0"/>
        <v>225</v>
      </c>
    </row>
    <row r="36" spans="1:31" ht="13.5" thickBot="1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150" t="s">
        <v>24</v>
      </c>
      <c r="K36" s="172">
        <f>'район для расчетов (не печатать'!K36+'Свод по посел.'!K35</f>
        <v>149.4</v>
      </c>
      <c r="O36" s="214">
        <f>'район для расчетов (не печатать'!O36+'Свод по посел.'!L35</f>
        <v>0</v>
      </c>
      <c r="P36" s="184">
        <f>'район для расчетов (не печатать'!P36+'Свод по посел.'!P35</f>
        <v>0</v>
      </c>
      <c r="Q36" s="184">
        <f>'район для расчетов (не печатать'!Q36+'Свод по посел.'!Q35</f>
        <v>0</v>
      </c>
      <c r="R36" s="184">
        <f>'район для расчетов (не печатать'!R36+'Свод по посел.'!R35</f>
        <v>0</v>
      </c>
      <c r="S36" s="214">
        <f>'район для расчетов (не печатать'!S36+'Свод по посел.'!S35</f>
        <v>0</v>
      </c>
      <c r="T36" s="184">
        <f>'район для расчетов (не печатать'!T36+'Свод по посел.'!T35</f>
        <v>0</v>
      </c>
      <c r="U36" s="184">
        <f>'район для расчетов (не печатать'!U36+'Свод по посел.'!U35</f>
        <v>0</v>
      </c>
      <c r="V36" s="184">
        <f>'район для расчетов (не печатать'!V36+'Свод по посел.'!V35</f>
        <v>0</v>
      </c>
      <c r="W36" s="214">
        <f>'район для расчетов (не печатать'!W36+'Свод по посел.'!W35</f>
        <v>24</v>
      </c>
      <c r="X36" s="184">
        <f>'район для расчетов (не печатать'!X36+'Свод по посел.'!X35</f>
        <v>1</v>
      </c>
      <c r="Y36" s="184">
        <f>'район для расчетов (не печатать'!Y36+'Свод по посел.'!Y35</f>
        <v>8</v>
      </c>
      <c r="Z36" s="184">
        <f>'район для расчетов (не печатать'!Z36+'Свод по посел.'!Z35</f>
        <v>15</v>
      </c>
      <c r="AA36" s="214">
        <f>'район для расчетов (не печатать'!AA36+'Свод по посел.'!AA35</f>
        <v>47</v>
      </c>
      <c r="AB36" s="184">
        <f>'район для расчетов (не печатать'!AB36+'Свод по посел.'!AB35</f>
        <v>12</v>
      </c>
      <c r="AC36" s="184">
        <f>'район для расчетов (не печатать'!AC36+'Свод по посел.'!AC35</f>
        <v>27.5</v>
      </c>
      <c r="AD36" s="184">
        <f>'район для расчетов (не печатать'!AD36+'Свод по посел.'!AD35</f>
        <v>7.5</v>
      </c>
      <c r="AE36" s="179">
        <f t="shared" si="0"/>
        <v>71</v>
      </c>
    </row>
    <row r="37" spans="1:31" ht="13.5" thickBot="1">
      <c r="A37" s="22"/>
      <c r="B37" s="77" t="s">
        <v>48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150" t="s">
        <v>24</v>
      </c>
      <c r="K37" s="172">
        <f>'район для расчетов (не печатать'!K37+'Свод по посел.'!K36</f>
        <v>0</v>
      </c>
      <c r="O37" s="214">
        <f>'район для расчетов (не печатать'!O37+'Свод по посел.'!L36</f>
        <v>0</v>
      </c>
      <c r="P37" s="184">
        <f>'район для расчетов (не печатать'!P37+'Свод по посел.'!P36</f>
        <v>0</v>
      </c>
      <c r="Q37" s="184">
        <f>'район для расчетов (не печатать'!Q37+'Свод по посел.'!Q36</f>
        <v>0</v>
      </c>
      <c r="R37" s="184">
        <f>'район для расчетов (не печатать'!R37+'Свод по посел.'!R36</f>
        <v>0</v>
      </c>
      <c r="S37" s="214">
        <f>'район для расчетов (не печатать'!S37+'Свод по посел.'!S36</f>
        <v>0</v>
      </c>
      <c r="T37" s="184">
        <f>'район для расчетов (не печатать'!T37+'Свод по посел.'!T36</f>
        <v>0</v>
      </c>
      <c r="U37" s="184">
        <f>'район для расчетов (не печатать'!U37+'Свод по посел.'!U36</f>
        <v>0</v>
      </c>
      <c r="V37" s="184">
        <f>'район для расчетов (не печатать'!V37+'Свод по посел.'!V36</f>
        <v>0</v>
      </c>
      <c r="W37" s="214">
        <f>'район для расчетов (не печатать'!W37+'Свод по посел.'!W36</f>
        <v>0</v>
      </c>
      <c r="X37" s="184">
        <f>'район для расчетов (не печатать'!X37+'Свод по посел.'!X36</f>
        <v>0</v>
      </c>
      <c r="Y37" s="184">
        <f>'район для расчетов (не печатать'!Y37+'Свод по посел.'!Y36</f>
        <v>0</v>
      </c>
      <c r="Z37" s="184">
        <f>'район для расчетов (не печатать'!Z37+'Свод по посел.'!Z36</f>
        <v>0</v>
      </c>
      <c r="AA37" s="214">
        <f>'район для расчетов (не печатать'!AA37+'Свод по посел.'!AA36</f>
        <v>0</v>
      </c>
      <c r="AB37" s="184">
        <f>'район для расчетов (не печатать'!AB37+'Свод по посел.'!AB36</f>
        <v>0</v>
      </c>
      <c r="AC37" s="184">
        <f>'район для расчетов (не печатать'!AC37+'Свод по посел.'!AC36</f>
        <v>0</v>
      </c>
      <c r="AD37" s="184">
        <f>'район для расчетов (не печатать'!AD37+'Свод по посел.'!AD36</f>
        <v>0</v>
      </c>
      <c r="AE37" s="179">
        <f t="shared" si="0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150" t="s">
        <v>24</v>
      </c>
      <c r="K38" s="172">
        <f>'район для расчетов (не печатать'!K38+'Свод по посел.'!K37</f>
        <v>1247.1</v>
      </c>
      <c r="O38" s="214">
        <f>'район для расчетов (не печатать'!O38+'Свод по посел.'!L37</f>
        <v>0</v>
      </c>
      <c r="P38" s="184">
        <f>'район для расчетов (не печатать'!P38+'Свод по посел.'!P37</f>
        <v>0</v>
      </c>
      <c r="Q38" s="184">
        <f>'район для расчетов (не печатать'!Q38+'Свод по посел.'!Q37</f>
        <v>0</v>
      </c>
      <c r="R38" s="184">
        <f>'район для расчетов (не печатать'!R38+'Свод по посел.'!R37</f>
        <v>0</v>
      </c>
      <c r="S38" s="214">
        <f>'район для расчетов (не печатать'!S38+'Свод по посел.'!S37</f>
        <v>30</v>
      </c>
      <c r="T38" s="184">
        <f>'район для расчетов (не печатать'!T38+'Свод по посел.'!T37</f>
        <v>30</v>
      </c>
      <c r="U38" s="184">
        <f>'район для расчетов (не печатать'!U38+'Свод по посел.'!U37</f>
        <v>0</v>
      </c>
      <c r="V38" s="184">
        <f>'район для расчетов (не печатать'!V38+'Свод по посел.'!V37</f>
        <v>0</v>
      </c>
      <c r="W38" s="214">
        <f>'район для расчетов (не печатать'!W38+'Свод по посел.'!W37</f>
        <v>64</v>
      </c>
      <c r="X38" s="184">
        <f>'район для расчетов (не печатать'!X38+'Свод по посел.'!X37</f>
        <v>0</v>
      </c>
      <c r="Y38" s="184">
        <f>'район для расчетов (не печатать'!Y38+'Свод по посел.'!Y37</f>
        <v>0</v>
      </c>
      <c r="Z38" s="184">
        <f>'район для расчетов (не печатать'!Z38+'Свод по посел.'!Z37</f>
        <v>64</v>
      </c>
      <c r="AA38" s="214">
        <f>'район для расчетов (не печатать'!AA38+'Свод по посел.'!AA37</f>
        <v>60</v>
      </c>
      <c r="AB38" s="184">
        <f>'район для расчетов (не печатать'!AB38+'Свод по посел.'!AB37</f>
        <v>0</v>
      </c>
      <c r="AC38" s="184">
        <f>'район для расчетов (не печатать'!AC38+'Свод по посел.'!AC37</f>
        <v>40</v>
      </c>
      <c r="AD38" s="184">
        <f>'район для расчетов (не печатать'!AD38+'Свод по посел.'!AD37</f>
        <v>20</v>
      </c>
      <c r="AE38" s="302">
        <f t="shared" si="0"/>
        <v>154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152" t="s">
        <v>14</v>
      </c>
      <c r="K39" s="303">
        <f>'район для расчетов (не печатать'!K39+'Свод по посел.'!K38</f>
        <v>2250</v>
      </c>
      <c r="O39" s="214">
        <f>'район для расчетов (не печатать'!O39+'Свод по посел.'!L38</f>
        <v>562</v>
      </c>
      <c r="P39" s="184">
        <f>'район для расчетов (не печатать'!P39+'Свод по посел.'!P38</f>
        <v>187</v>
      </c>
      <c r="Q39" s="184">
        <f>'район для расчетов (не печатать'!Q39+'Свод по посел.'!Q38</f>
        <v>187</v>
      </c>
      <c r="R39" s="184">
        <f>'район для расчетов (не печатать'!R39+'Свод по посел.'!R38</f>
        <v>188</v>
      </c>
      <c r="S39" s="214">
        <f>'район для расчетов (не печатать'!S39+'Свод по посел.'!S38</f>
        <v>562</v>
      </c>
      <c r="T39" s="184">
        <f>'район для расчетов (не печатать'!T39+'Свод по посел.'!T38</f>
        <v>187</v>
      </c>
      <c r="U39" s="184">
        <f>'район для расчетов (не печатать'!U39+'Свод по посел.'!U38</f>
        <v>187</v>
      </c>
      <c r="V39" s="184">
        <f>'район для расчетов (не печатать'!V39+'Свод по посел.'!V38</f>
        <v>188</v>
      </c>
      <c r="W39" s="214">
        <f>'район для расчетов (не печатать'!W39+'Свод по посел.'!W38</f>
        <v>562</v>
      </c>
      <c r="X39" s="184">
        <f>'район для расчетов (не печатать'!X39+'Свод по посел.'!X38</f>
        <v>187</v>
      </c>
      <c r="Y39" s="184">
        <f>'район для расчетов (не печатать'!Y39+'Свод по посел.'!Y38</f>
        <v>187</v>
      </c>
      <c r="Z39" s="184">
        <f>'район для расчетов (не печатать'!Z39+'Свод по посел.'!Z38</f>
        <v>188</v>
      </c>
      <c r="AA39" s="214">
        <f>'район для расчетов (не печатать'!AA39+'Свод по посел.'!AA38</f>
        <v>564</v>
      </c>
      <c r="AB39" s="184">
        <f>'район для расчетов (не печатать'!AB39+'Свод по посел.'!AB38</f>
        <v>188</v>
      </c>
      <c r="AC39" s="184">
        <f>'район для расчетов (не печатать'!AC39+'Свод по посел.'!AC38</f>
        <v>188</v>
      </c>
      <c r="AD39" s="184">
        <f>'район для расчетов (не печатать'!AD39+'Свод по посел.'!AD38</f>
        <v>188</v>
      </c>
      <c r="AE39" s="179">
        <f t="shared" si="0"/>
        <v>2250</v>
      </c>
    </row>
    <row r="40" spans="1:31" ht="13.5" thickBot="1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153" t="s">
        <v>24</v>
      </c>
      <c r="K40" s="172">
        <f>'район для расчетов (не печатать'!K40+'Свод по посел.'!K39</f>
        <v>2250</v>
      </c>
      <c r="O40" s="214">
        <f>'район для расчетов (не печатать'!O40+'Свод по посел.'!L39</f>
        <v>562</v>
      </c>
      <c r="P40" s="184">
        <f>'район для расчетов (не печатать'!P40+'Свод по посел.'!P39</f>
        <v>187</v>
      </c>
      <c r="Q40" s="184">
        <f>'район для расчетов (не печатать'!Q40+'Свод по посел.'!Q39</f>
        <v>187</v>
      </c>
      <c r="R40" s="184">
        <f>'район для расчетов (не печатать'!R40+'Свод по посел.'!R39</f>
        <v>188</v>
      </c>
      <c r="S40" s="214">
        <f>'район для расчетов (не печатать'!S40+'Свод по посел.'!S39</f>
        <v>562</v>
      </c>
      <c r="T40" s="184">
        <f>'район для расчетов (не печатать'!T40+'Свод по посел.'!T39</f>
        <v>187</v>
      </c>
      <c r="U40" s="184">
        <f>'район для расчетов (не печатать'!U40+'Свод по посел.'!U39</f>
        <v>187</v>
      </c>
      <c r="V40" s="184">
        <f>'район для расчетов (не печатать'!V40+'Свод по посел.'!V39</f>
        <v>188</v>
      </c>
      <c r="W40" s="214">
        <f>'район для расчетов (не печатать'!W40+'Свод по посел.'!W39</f>
        <v>562</v>
      </c>
      <c r="X40" s="184">
        <f>'район для расчетов (не печатать'!X40+'Свод по посел.'!X39</f>
        <v>187</v>
      </c>
      <c r="Y40" s="184">
        <f>'район для расчетов (не печатать'!Y40+'Свод по посел.'!Y39</f>
        <v>187</v>
      </c>
      <c r="Z40" s="184">
        <f>'район для расчетов (не печатать'!Z40+'Свод по посел.'!Z39</f>
        <v>188</v>
      </c>
      <c r="AA40" s="214">
        <f>'район для расчетов (не печатать'!AA40+'Свод по посел.'!AA39</f>
        <v>564</v>
      </c>
      <c r="AB40" s="184">
        <f>'район для расчетов (не печатать'!AB40+'Свод по посел.'!AB39</f>
        <v>188</v>
      </c>
      <c r="AC40" s="184">
        <f>'район для расчетов (не печатать'!AC40+'Свод по посел.'!AC39</f>
        <v>188</v>
      </c>
      <c r="AD40" s="184">
        <f>'район для расчетов (не печатать'!AD40+'Свод по посел.'!AD39</f>
        <v>188</v>
      </c>
      <c r="AE40" s="179">
        <f t="shared" si="0"/>
        <v>2250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154" t="s">
        <v>24</v>
      </c>
      <c r="K41" s="172">
        <f>'район для расчетов (не печатать'!K41+'Свод по посел.'!K40</f>
        <v>0</v>
      </c>
      <c r="O41" s="214">
        <f>'район для расчетов (не печатать'!O41+'Свод по посел.'!L40</f>
        <v>0</v>
      </c>
      <c r="P41" s="184">
        <f>'район для расчетов (не печатать'!P41+'Свод по посел.'!P40</f>
        <v>0</v>
      </c>
      <c r="Q41" s="184">
        <f>'район для расчетов (не печатать'!Q41+'Свод по посел.'!Q40</f>
        <v>0</v>
      </c>
      <c r="R41" s="184">
        <f>'район для расчетов (не печатать'!R41+'Свод по посел.'!R40</f>
        <v>0</v>
      </c>
      <c r="S41" s="214">
        <f>'район для расчетов (не печатать'!S41+'Свод по посел.'!S40</f>
        <v>0</v>
      </c>
      <c r="T41" s="184">
        <f>'район для расчетов (не печатать'!T41+'Свод по посел.'!T40</f>
        <v>0</v>
      </c>
      <c r="U41" s="184">
        <f>'район для расчетов (не печатать'!U41+'Свод по посел.'!U40</f>
        <v>0</v>
      </c>
      <c r="V41" s="184">
        <f>'район для расчетов (не печатать'!V41+'Свод по посел.'!V40</f>
        <v>0</v>
      </c>
      <c r="W41" s="214">
        <f>'район для расчетов (не печатать'!W41+'Свод по посел.'!W40</f>
        <v>0</v>
      </c>
      <c r="X41" s="184">
        <f>'район для расчетов (не печатать'!X41+'Свод по посел.'!X40</f>
        <v>0</v>
      </c>
      <c r="Y41" s="184">
        <f>'район для расчетов (не печатать'!Y41+'Свод по посел.'!Y40</f>
        <v>0</v>
      </c>
      <c r="Z41" s="184">
        <f>'район для расчетов (не печатать'!Z41+'Свод по посел.'!Z40</f>
        <v>0</v>
      </c>
      <c r="AA41" s="214">
        <f>'район для расчетов (не печатать'!AA41+'Свод по посел.'!AA40</f>
        <v>0</v>
      </c>
      <c r="AB41" s="184">
        <f>'район для расчетов (не печатать'!AB41+'Свод по посел.'!AB40</f>
        <v>0</v>
      </c>
      <c r="AC41" s="184">
        <f>'район для расчетов (не печатать'!AC41+'Свод по посел.'!AC40</f>
        <v>0</v>
      </c>
      <c r="AD41" s="184">
        <f>'район для расчетов (не печатать'!AD41+'Свод по посел.'!AD40</f>
        <v>0</v>
      </c>
      <c r="AE41" s="179">
        <f t="shared" si="0"/>
        <v>0</v>
      </c>
    </row>
    <row r="42" spans="1:31" ht="13.5" hidden="1" thickBot="1">
      <c r="A42" s="401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155" t="s">
        <v>14</v>
      </c>
      <c r="K42" s="172">
        <f>'район для расчетов (не печатать'!K42+'Свод по посел.'!K41</f>
        <v>0</v>
      </c>
      <c r="O42" s="214">
        <f>'район для расчетов (не печатать'!O42+'Свод по посел.'!L41</f>
        <v>0</v>
      </c>
      <c r="P42" s="184">
        <f>'район для расчетов (не печатать'!P42+'Свод по посел.'!P41</f>
        <v>0</v>
      </c>
      <c r="Q42" s="184">
        <f>'район для расчетов (не печатать'!Q42+'Свод по посел.'!Q41</f>
        <v>0</v>
      </c>
      <c r="R42" s="184">
        <f>'район для расчетов (не печатать'!R42+'Свод по посел.'!R41</f>
        <v>0</v>
      </c>
      <c r="S42" s="214">
        <f>'район для расчетов (не печатать'!S42+'Свод по посел.'!S41</f>
        <v>0</v>
      </c>
      <c r="T42" s="184">
        <f>'район для расчетов (не печатать'!T42+'Свод по посел.'!T41</f>
        <v>0</v>
      </c>
      <c r="U42" s="184">
        <f>'район для расчетов (не печатать'!U42+'Свод по посел.'!U41</f>
        <v>0</v>
      </c>
      <c r="V42" s="184">
        <f>'район для расчетов (не печатать'!V42+'Свод по посел.'!V41</f>
        <v>0</v>
      </c>
      <c r="W42" s="214">
        <f>'район для расчетов (не печатать'!W42+'Свод по посел.'!W41</f>
        <v>0</v>
      </c>
      <c r="X42" s="184">
        <f>'район для расчетов (не печатать'!X42+'Свод по посел.'!X41</f>
        <v>0</v>
      </c>
      <c r="Y42" s="184">
        <f>'район для расчетов (не печатать'!Y42+'Свод по посел.'!Y41</f>
        <v>0</v>
      </c>
      <c r="Z42" s="184">
        <f>'район для расчетов (не печатать'!Z42+'Свод по посел.'!Z41</f>
        <v>0</v>
      </c>
      <c r="AA42" s="214">
        <f>'район для расчетов (не печатать'!AA42+'Свод по посел.'!AA41</f>
        <v>0</v>
      </c>
      <c r="AB42" s="184">
        <f>'район для расчетов (не печатать'!AB42+'Свод по посел.'!AB41</f>
        <v>0</v>
      </c>
      <c r="AC42" s="184">
        <f>'район для расчетов (не печатать'!AC42+'Свод по посел.'!AC41</f>
        <v>0</v>
      </c>
      <c r="AD42" s="184">
        <f>'район для расчетов (не печатать'!AD42+'Свод по посел.'!AD41</f>
        <v>0</v>
      </c>
      <c r="AE42" s="179">
        <f t="shared" si="0"/>
        <v>0</v>
      </c>
    </row>
    <row r="43" spans="1:31" ht="13.5" hidden="1" thickBot="1">
      <c r="A43" s="402"/>
      <c r="B43" s="83" t="s">
        <v>59</v>
      </c>
      <c r="C43" s="59"/>
      <c r="D43" s="59"/>
      <c r="E43" s="59"/>
      <c r="F43" s="60"/>
      <c r="G43" s="60"/>
      <c r="H43" s="60"/>
      <c r="I43" s="60"/>
      <c r="J43" s="156"/>
      <c r="K43" s="172">
        <f>'район для расчетов (не печатать'!K43+'Свод по посел.'!K42</f>
        <v>0</v>
      </c>
      <c r="O43" s="214">
        <f>'район для расчетов (не печатать'!O43+'Свод по посел.'!L42</f>
        <v>0</v>
      </c>
      <c r="P43" s="184">
        <f>'район для расчетов (не печатать'!P43+'Свод по посел.'!P42</f>
        <v>0</v>
      </c>
      <c r="Q43" s="184">
        <f>'район для расчетов (не печатать'!Q43+'Свод по посел.'!Q42</f>
        <v>0</v>
      </c>
      <c r="R43" s="184">
        <f>'район для расчетов (не печатать'!R43+'Свод по посел.'!R42</f>
        <v>0</v>
      </c>
      <c r="S43" s="214">
        <f>'район для расчетов (не печатать'!S43+'Свод по посел.'!S42</f>
        <v>0</v>
      </c>
      <c r="T43" s="184">
        <f>'район для расчетов (не печатать'!T43+'Свод по посел.'!T42</f>
        <v>0</v>
      </c>
      <c r="U43" s="184">
        <f>'район для расчетов (не печатать'!U43+'Свод по посел.'!U42</f>
        <v>0</v>
      </c>
      <c r="V43" s="184">
        <f>'район для расчетов (не печатать'!V43+'Свод по посел.'!V42</f>
        <v>0</v>
      </c>
      <c r="W43" s="214">
        <f>'район для расчетов (не печатать'!W43+'Свод по посел.'!W42</f>
        <v>0</v>
      </c>
      <c r="X43" s="184">
        <f>'район для расчетов (не печатать'!X43+'Свод по посел.'!X42</f>
        <v>0</v>
      </c>
      <c r="Y43" s="184">
        <f>'район для расчетов (не печатать'!Y43+'Свод по посел.'!Y42</f>
        <v>0</v>
      </c>
      <c r="Z43" s="184">
        <f>'район для расчетов (не печатать'!Z43+'Свод по посел.'!Z42</f>
        <v>0</v>
      </c>
      <c r="AA43" s="214">
        <f>'район для расчетов (не печатать'!AA43+'Свод по посел.'!AA42</f>
        <v>0</v>
      </c>
      <c r="AB43" s="184">
        <f>'район для расчетов (не печатать'!AB43+'Свод по посел.'!AB42</f>
        <v>0</v>
      </c>
      <c r="AC43" s="184">
        <f>'район для расчетов (не печатать'!AC43+'Свод по посел.'!AC42</f>
        <v>0</v>
      </c>
      <c r="AD43" s="184">
        <f>'район для расчетов (не печатать'!AD43+'Свод по посел.'!AD42</f>
        <v>0</v>
      </c>
      <c r="AE43" s="179">
        <f t="shared" si="0"/>
        <v>0</v>
      </c>
    </row>
    <row r="44" spans="1:31" ht="13.5" hidden="1" thickBot="1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157" t="s">
        <v>24</v>
      </c>
      <c r="K44" s="172">
        <f>'район для расчетов (не печатать'!K44+'Свод по посел.'!K43</f>
        <v>0</v>
      </c>
      <c r="O44" s="214">
        <f>'район для расчетов (не печатать'!O44+'Свод по посел.'!L43</f>
        <v>0</v>
      </c>
      <c r="P44" s="184">
        <f>'район для расчетов (не печатать'!P44+'Свод по посел.'!P43</f>
        <v>0</v>
      </c>
      <c r="Q44" s="184">
        <f>'район для расчетов (не печатать'!Q44+'Свод по посел.'!Q43</f>
        <v>0</v>
      </c>
      <c r="R44" s="184">
        <f>'район для расчетов (не печатать'!R44+'Свод по посел.'!R43</f>
        <v>0</v>
      </c>
      <c r="S44" s="214">
        <f>'район для расчетов (не печатать'!S44+'Свод по посел.'!S43</f>
        <v>0</v>
      </c>
      <c r="T44" s="184">
        <f>'район для расчетов (не печатать'!T44+'Свод по посел.'!T43</f>
        <v>0</v>
      </c>
      <c r="U44" s="184">
        <f>'район для расчетов (не печатать'!U44+'Свод по посел.'!U43</f>
        <v>0</v>
      </c>
      <c r="V44" s="184">
        <f>'район для расчетов (не печатать'!V44+'Свод по посел.'!V43</f>
        <v>0</v>
      </c>
      <c r="W44" s="214">
        <f>'район для расчетов (не печатать'!W44+'Свод по посел.'!W43</f>
        <v>0</v>
      </c>
      <c r="X44" s="184">
        <f>'район для расчетов (не печатать'!X44+'Свод по посел.'!X43</f>
        <v>0</v>
      </c>
      <c r="Y44" s="184">
        <f>'район для расчетов (не печатать'!Y44+'Свод по посел.'!Y43</f>
        <v>0</v>
      </c>
      <c r="Z44" s="184">
        <f>'район для расчетов (не печатать'!Z44+'Свод по посел.'!Z43</f>
        <v>0</v>
      </c>
      <c r="AA44" s="214">
        <f>'район для расчетов (не печатать'!AA44+'Свод по посел.'!AA43</f>
        <v>0</v>
      </c>
      <c r="AB44" s="184">
        <f>'район для расчетов (не печатать'!AB44+'Свод по посел.'!AB43</f>
        <v>0</v>
      </c>
      <c r="AC44" s="184">
        <f>'район для расчетов (не печатать'!AC44+'Свод по посел.'!AC43</f>
        <v>0</v>
      </c>
      <c r="AD44" s="184">
        <f>'район для расчетов (не печатать'!AD44+'Свод по посел.'!AD43</f>
        <v>0</v>
      </c>
      <c r="AE44" s="179">
        <f t="shared" si="0"/>
        <v>0</v>
      </c>
    </row>
    <row r="45" spans="1:31" ht="13.5" hidden="1" thickBot="1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157" t="s">
        <v>24</v>
      </c>
      <c r="K45" s="172">
        <f>'район для расчетов (не печатать'!K45+'Свод по посел.'!K44</f>
        <v>0</v>
      </c>
      <c r="O45" s="214">
        <f>'район для расчетов (не печатать'!O45+'Свод по посел.'!L44</f>
        <v>0</v>
      </c>
      <c r="P45" s="184">
        <f>'район для расчетов (не печатать'!P45+'Свод по посел.'!P44</f>
        <v>0</v>
      </c>
      <c r="Q45" s="184">
        <f>'район для расчетов (не печатать'!Q45+'Свод по посел.'!Q44</f>
        <v>0</v>
      </c>
      <c r="R45" s="184">
        <f>'район для расчетов (не печатать'!R45+'Свод по посел.'!R44</f>
        <v>0</v>
      </c>
      <c r="S45" s="214">
        <f>'район для расчетов (не печатать'!S45+'Свод по посел.'!S44</f>
        <v>0</v>
      </c>
      <c r="T45" s="184">
        <f>'район для расчетов (не печатать'!T45+'Свод по посел.'!T44</f>
        <v>0</v>
      </c>
      <c r="U45" s="184">
        <f>'район для расчетов (не печатать'!U45+'Свод по посел.'!U44</f>
        <v>0</v>
      </c>
      <c r="V45" s="184">
        <f>'район для расчетов (не печатать'!V45+'Свод по посел.'!V44</f>
        <v>0</v>
      </c>
      <c r="W45" s="214">
        <f>'район для расчетов (не печатать'!W45+'Свод по посел.'!W44</f>
        <v>0</v>
      </c>
      <c r="X45" s="184">
        <f>'район для расчетов (не печатать'!X45+'Свод по посел.'!X44</f>
        <v>0</v>
      </c>
      <c r="Y45" s="184">
        <f>'район для расчетов (не печатать'!Y45+'Свод по посел.'!Y44</f>
        <v>0</v>
      </c>
      <c r="Z45" s="184">
        <f>'район для расчетов (не печатать'!Z45+'Свод по посел.'!Z44</f>
        <v>0</v>
      </c>
      <c r="AA45" s="214">
        <f>'район для расчетов (не печатать'!AA45+'Свод по посел.'!AA44</f>
        <v>0</v>
      </c>
      <c r="AB45" s="184">
        <f>'район для расчетов (не печатать'!AB45+'Свод по посел.'!AB44</f>
        <v>0</v>
      </c>
      <c r="AC45" s="184">
        <f>'район для расчетов (не печатать'!AC45+'Свод по посел.'!AC44</f>
        <v>0</v>
      </c>
      <c r="AD45" s="184">
        <f>'район для расчетов (не печатать'!AD45+'Свод по посел.'!AD44</f>
        <v>0</v>
      </c>
      <c r="AE45" s="179">
        <f t="shared" si="0"/>
        <v>0</v>
      </c>
    </row>
    <row r="46" spans="1:31" ht="13.5" hidden="1" thickBot="1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150" t="s">
        <v>24</v>
      </c>
      <c r="K46" s="172">
        <f>'район для расчетов (не печатать'!K46+'Свод по посел.'!K45</f>
        <v>0</v>
      </c>
      <c r="O46" s="214">
        <f>'район для расчетов (не печатать'!O46+'Свод по посел.'!L45</f>
        <v>0</v>
      </c>
      <c r="P46" s="184">
        <f>'район для расчетов (не печатать'!P46+'Свод по посел.'!P45</f>
        <v>0</v>
      </c>
      <c r="Q46" s="184">
        <f>'район для расчетов (не печатать'!Q46+'Свод по посел.'!Q45</f>
        <v>0</v>
      </c>
      <c r="R46" s="184">
        <f>'район для расчетов (не печатать'!R46+'Свод по посел.'!R45</f>
        <v>0</v>
      </c>
      <c r="S46" s="214">
        <f>'район для расчетов (не печатать'!S46+'Свод по посел.'!S45</f>
        <v>0</v>
      </c>
      <c r="T46" s="184">
        <f>'район для расчетов (не печатать'!T46+'Свод по посел.'!T45</f>
        <v>0</v>
      </c>
      <c r="U46" s="184">
        <f>'район для расчетов (не печатать'!U46+'Свод по посел.'!U45</f>
        <v>0</v>
      </c>
      <c r="V46" s="184">
        <f>'район для расчетов (не печатать'!V46+'Свод по посел.'!V45</f>
        <v>0</v>
      </c>
      <c r="W46" s="214">
        <f>'район для расчетов (не печатать'!W46+'Свод по посел.'!W45</f>
        <v>0</v>
      </c>
      <c r="X46" s="184">
        <f>'район для расчетов (не печатать'!X46+'Свод по посел.'!X45</f>
        <v>0</v>
      </c>
      <c r="Y46" s="184">
        <f>'район для расчетов (не печатать'!Y46+'Свод по посел.'!Y45</f>
        <v>0</v>
      </c>
      <c r="Z46" s="184">
        <f>'район для расчетов (не печатать'!Z46+'Свод по посел.'!Z45</f>
        <v>0</v>
      </c>
      <c r="AA46" s="214">
        <f>'район для расчетов (не печатать'!AA46+'Свод по посел.'!AA45</f>
        <v>0</v>
      </c>
      <c r="AB46" s="184">
        <f>'район для расчетов (не печатать'!AB46+'Свод по посел.'!AB45</f>
        <v>0</v>
      </c>
      <c r="AC46" s="184">
        <f>'район для расчетов (не печатать'!AC46+'Свод по посел.'!AC45</f>
        <v>0</v>
      </c>
      <c r="AD46" s="184">
        <f>'район для расчетов (не печатать'!AD46+'Свод по посел.'!AD45</f>
        <v>0</v>
      </c>
      <c r="AE46" s="179">
        <f t="shared" si="0"/>
        <v>0</v>
      </c>
    </row>
    <row r="47" spans="1:31" ht="13.5" hidden="1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158" t="s">
        <v>24</v>
      </c>
      <c r="K47" s="172">
        <f>'район для расчетов (не печатать'!K47+'Свод по посел.'!K46</f>
        <v>0</v>
      </c>
      <c r="O47" s="214">
        <f>'район для расчетов (не печатать'!O47+'Свод по посел.'!L46</f>
        <v>0</v>
      </c>
      <c r="P47" s="184">
        <f>'район для расчетов (не печатать'!P47+'Свод по посел.'!P46</f>
        <v>0</v>
      </c>
      <c r="Q47" s="184">
        <f>'район для расчетов (не печатать'!Q47+'Свод по посел.'!Q46</f>
        <v>0</v>
      </c>
      <c r="R47" s="184">
        <f>'район для расчетов (не печатать'!R47+'Свод по посел.'!R46</f>
        <v>0</v>
      </c>
      <c r="S47" s="214">
        <f>'район для расчетов (не печатать'!S47+'Свод по посел.'!S46</f>
        <v>0</v>
      </c>
      <c r="T47" s="184">
        <f>'район для расчетов (не печатать'!T47+'Свод по посел.'!T46</f>
        <v>0</v>
      </c>
      <c r="U47" s="184">
        <f>'район для расчетов (не печатать'!U47+'Свод по посел.'!U46</f>
        <v>0</v>
      </c>
      <c r="V47" s="184">
        <f>'район для расчетов (не печатать'!V47+'Свод по посел.'!V46</f>
        <v>0</v>
      </c>
      <c r="W47" s="214">
        <f>'район для расчетов (не печатать'!W47+'Свод по посел.'!W46</f>
        <v>0</v>
      </c>
      <c r="X47" s="184">
        <f>'район для расчетов (не печатать'!X47+'Свод по посел.'!X46</f>
        <v>0</v>
      </c>
      <c r="Y47" s="184">
        <f>'район для расчетов (не печатать'!Y47+'Свод по посел.'!Y46</f>
        <v>0</v>
      </c>
      <c r="Z47" s="184">
        <f>'район для расчетов (не печатать'!Z47+'Свод по посел.'!Z46</f>
        <v>0</v>
      </c>
      <c r="AA47" s="214">
        <f>'район для расчетов (не печатать'!AA47+'Свод по посел.'!AA46</f>
        <v>0</v>
      </c>
      <c r="AB47" s="184">
        <f>'район для расчетов (не печатать'!AB47+'Свод по посел.'!AB46</f>
        <v>0</v>
      </c>
      <c r="AC47" s="184">
        <f>'район для расчетов (не печатать'!AC47+'Свод по посел.'!AC46</f>
        <v>0</v>
      </c>
      <c r="AD47" s="184">
        <f>'район для расчетов (не печатать'!AD47+'Свод по посел.'!AD46</f>
        <v>0</v>
      </c>
      <c r="AE47" s="179">
        <f t="shared" si="0"/>
        <v>0</v>
      </c>
    </row>
    <row r="48" spans="1:31" ht="31.5" customHeight="1" thickBot="1">
      <c r="A48" s="15" t="s">
        <v>62</v>
      </c>
      <c r="B48" s="141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159" t="s">
        <v>14</v>
      </c>
      <c r="K48" s="303">
        <f>'район для расчетов (не печатать'!K48+'Свод по посел.'!K47</f>
        <v>1573</v>
      </c>
      <c r="O48" s="214">
        <f>'район для расчетов (не печатать'!O48+'Свод по посел.'!L47</f>
        <v>284</v>
      </c>
      <c r="P48" s="184">
        <f>'район для расчетов (не печатать'!P48+'Свод по посел.'!P47</f>
        <v>90</v>
      </c>
      <c r="Q48" s="184">
        <f>'район для расчетов (не печатать'!Q48+'Свод по посел.'!Q47</f>
        <v>92</v>
      </c>
      <c r="R48" s="184">
        <f>'район для расчетов (не печатать'!R48+'Свод по посел.'!R47</f>
        <v>102</v>
      </c>
      <c r="S48" s="214">
        <f>'район для расчетов (не печатать'!S48+'Свод по посел.'!S47</f>
        <v>289</v>
      </c>
      <c r="T48" s="184">
        <f>'район для расчетов (не печатать'!T48+'Свод по посел.'!T47</f>
        <v>93</v>
      </c>
      <c r="U48" s="184">
        <f>'район для расчетов (не печатать'!U48+'Свод по посел.'!U47</f>
        <v>93</v>
      </c>
      <c r="V48" s="184">
        <f>'район для расчетов (не печатать'!V48+'Свод по посел.'!V47</f>
        <v>103</v>
      </c>
      <c r="W48" s="214">
        <f>'район для расчетов (не печатать'!W48+'Свод по посел.'!W47</f>
        <v>284</v>
      </c>
      <c r="X48" s="184">
        <f>'район для расчетов (не печатать'!X48+'Свод по посел.'!X47</f>
        <v>90.5</v>
      </c>
      <c r="Y48" s="184">
        <f>'район для расчетов (не печатать'!Y48+'Свод по посел.'!Y47</f>
        <v>92</v>
      </c>
      <c r="Z48" s="184">
        <f>'район для расчетов (не печатать'!Z48+'Свод по посел.'!Z47</f>
        <v>101.5</v>
      </c>
      <c r="AA48" s="214">
        <f>'район для расчетов (не печатать'!AA48+'Свод по посел.'!AA47</f>
        <v>293</v>
      </c>
      <c r="AB48" s="184">
        <f>'район для расчетов (не печатать'!AB48+'Свод по посел.'!AB47</f>
        <v>95</v>
      </c>
      <c r="AC48" s="184">
        <f>'район для расчетов (не печатать'!AC48+'Свод по посел.'!AC47</f>
        <v>95</v>
      </c>
      <c r="AD48" s="184">
        <f>'район для расчетов (не печатать'!AD48+'Свод по посел.'!AD47</f>
        <v>103</v>
      </c>
      <c r="AE48" s="179">
        <f t="shared" si="0"/>
        <v>1150</v>
      </c>
    </row>
    <row r="49" spans="1:31" ht="11.25" customHeight="1" thickBot="1">
      <c r="A49" s="19"/>
      <c r="B49" s="143"/>
      <c r="C49" s="133"/>
      <c r="D49" s="133"/>
      <c r="E49" s="133"/>
      <c r="F49" s="133"/>
      <c r="G49" s="133"/>
      <c r="H49" s="133"/>
      <c r="I49" s="133"/>
      <c r="J49" s="160"/>
      <c r="K49" s="172">
        <f>'район для расчетов (не печатать'!K49+'Свод по посел.'!K48</f>
        <v>0</v>
      </c>
      <c r="O49" s="214">
        <f>'район для расчетов (не печатать'!O49+'Свод по посел.'!L48</f>
        <v>0</v>
      </c>
      <c r="P49" s="184">
        <f>'район для расчетов (не печатать'!P49+'Свод по посел.'!P48</f>
        <v>0</v>
      </c>
      <c r="Q49" s="184">
        <f>'район для расчетов (не печатать'!Q49+'Свод по посел.'!Q48</f>
        <v>0</v>
      </c>
      <c r="R49" s="184">
        <f>'район для расчетов (не печатать'!R49+'Свод по посел.'!R48</f>
        <v>0</v>
      </c>
      <c r="S49" s="214">
        <f>'район для расчетов (не печатать'!S49+'Свод по посел.'!S48</f>
        <v>0</v>
      </c>
      <c r="T49" s="184">
        <f>'район для расчетов (не печатать'!T49+'Свод по посел.'!T48</f>
        <v>0</v>
      </c>
      <c r="U49" s="184">
        <f>'район для расчетов (не печатать'!U49+'Свод по посел.'!U48</f>
        <v>0</v>
      </c>
      <c r="V49" s="184">
        <f>'район для расчетов (не печатать'!V49+'Свод по посел.'!V48</f>
        <v>0</v>
      </c>
      <c r="W49" s="214">
        <f>'район для расчетов (не печатать'!W49+'Свод по посел.'!W48</f>
        <v>0</v>
      </c>
      <c r="X49" s="184">
        <f>'район для расчетов (не печатать'!X49+'Свод по посел.'!X48</f>
        <v>0</v>
      </c>
      <c r="Y49" s="184">
        <f>'район для расчетов (не печатать'!Y49+'Свод по посел.'!Y48</f>
        <v>0</v>
      </c>
      <c r="Z49" s="184">
        <f>'район для расчетов (не печатать'!Z49+'Свод по посел.'!Z48</f>
        <v>0</v>
      </c>
      <c r="AA49" s="214">
        <f>'район для расчетов (не печатать'!AA49+'Свод по посел.'!AA48</f>
        <v>0</v>
      </c>
      <c r="AB49" s="184">
        <f>'район для расчетов (не печатать'!AB49+'Свод по посел.'!AB48</f>
        <v>0</v>
      </c>
      <c r="AC49" s="184">
        <f>'район для расчетов (не печатать'!AC49+'Свод по посел.'!AC48</f>
        <v>0</v>
      </c>
      <c r="AD49" s="184">
        <f>'район для расчетов (не печатать'!AD49+'Свод по посел.'!AD48</f>
        <v>0</v>
      </c>
      <c r="AE49" s="179">
        <f t="shared" si="0"/>
        <v>0</v>
      </c>
    </row>
    <row r="50" spans="1:31" ht="19.5" customHeight="1" thickBot="1">
      <c r="A50" s="123" t="s">
        <v>64</v>
      </c>
      <c r="B50" s="114" t="s">
        <v>149</v>
      </c>
      <c r="C50" s="115" t="s">
        <v>14</v>
      </c>
      <c r="D50" s="115">
        <v>1</v>
      </c>
      <c r="E50" s="115">
        <v>11</v>
      </c>
      <c r="F50" s="115" t="s">
        <v>38</v>
      </c>
      <c r="G50" s="115" t="s">
        <v>14</v>
      </c>
      <c r="H50" s="115" t="s">
        <v>15</v>
      </c>
      <c r="I50" s="115" t="s">
        <v>16</v>
      </c>
      <c r="J50" s="161" t="s">
        <v>65</v>
      </c>
      <c r="K50" s="172">
        <f>'район для расчетов (не печатать'!K50+'Свод по посел.'!K49</f>
        <v>1353</v>
      </c>
      <c r="O50" s="214">
        <f>'район для расчетов (не печатать'!O50+'Свод по посел.'!L49</f>
        <v>230</v>
      </c>
      <c r="P50" s="184">
        <f>'район для расчетов (не печатать'!P50+'Свод по посел.'!P49</f>
        <v>74.5</v>
      </c>
      <c r="Q50" s="184">
        <f>'район для расчетов (не печатать'!Q50+'Свод по посел.'!Q49</f>
        <v>74.5</v>
      </c>
      <c r="R50" s="184">
        <f>'район для расчетов (не печатать'!R50+'Свод по посел.'!R49</f>
        <v>81</v>
      </c>
      <c r="S50" s="214">
        <f>'район для расчетов (не печатать'!S50+'Свод по посел.'!S49</f>
        <v>233</v>
      </c>
      <c r="T50" s="184">
        <f>'район для расчетов (не печатать'!T50+'Свод по посел.'!T49</f>
        <v>76</v>
      </c>
      <c r="U50" s="184">
        <f>'район для расчетов (не печатать'!U50+'Свод по посел.'!U49</f>
        <v>75</v>
      </c>
      <c r="V50" s="184">
        <f>'район для расчетов (не печатать'!V50+'Свод по посел.'!V49</f>
        <v>82</v>
      </c>
      <c r="W50" s="214">
        <f>'район для расчетов (не печатать'!W50+'Свод по посел.'!W49</f>
        <v>231</v>
      </c>
      <c r="X50" s="184">
        <f>'район для расчетов (не печатать'!X50+'Свод по посел.'!X49</f>
        <v>75</v>
      </c>
      <c r="Y50" s="184">
        <f>'район для расчетов (не печатать'!Y50+'Свод по посел.'!Y49</f>
        <v>75</v>
      </c>
      <c r="Z50" s="184">
        <f>'район для расчетов (не печатать'!Z50+'Свод по посел.'!Z49</f>
        <v>81</v>
      </c>
      <c r="AA50" s="214">
        <f>'район для расчетов (не печатать'!AA50+'Свод по посел.'!AA49</f>
        <v>236</v>
      </c>
      <c r="AB50" s="184">
        <f>'район для расчетов (не печатать'!AB50+'Свод по посел.'!AB49</f>
        <v>77</v>
      </c>
      <c r="AC50" s="184">
        <f>'район для расчетов (не печатать'!AC50+'Свод по посел.'!AC49</f>
        <v>77</v>
      </c>
      <c r="AD50" s="184">
        <f>'район для расчетов (не печатать'!AD50+'Свод по посел.'!AD49</f>
        <v>82</v>
      </c>
      <c r="AE50" s="179">
        <f t="shared" si="0"/>
        <v>930</v>
      </c>
    </row>
    <row r="51" spans="1:31" ht="24.75" thickBot="1">
      <c r="A51" s="110"/>
      <c r="B51" s="112" t="s">
        <v>155</v>
      </c>
      <c r="C51" s="117" t="s">
        <v>66</v>
      </c>
      <c r="D51" s="117" t="s">
        <v>19</v>
      </c>
      <c r="E51" s="117" t="s">
        <v>63</v>
      </c>
      <c r="F51" s="117" t="s">
        <v>38</v>
      </c>
      <c r="G51" s="117" t="s">
        <v>14</v>
      </c>
      <c r="H51" s="117" t="s">
        <v>38</v>
      </c>
      <c r="I51" s="117" t="s">
        <v>16</v>
      </c>
      <c r="J51" s="162" t="s">
        <v>65</v>
      </c>
      <c r="K51" s="172">
        <f>'район для расчетов (не печатать'!K51+'Свод по посел.'!K50</f>
        <v>1353</v>
      </c>
      <c r="O51" s="214">
        <f>'район для расчетов (не печатать'!O51+'Свод по посел.'!L50</f>
        <v>230</v>
      </c>
      <c r="P51" s="184">
        <f>'район для расчетов (не печатать'!P51+'Свод по посел.'!P50</f>
        <v>74.5</v>
      </c>
      <c r="Q51" s="184">
        <f>'район для расчетов (не печатать'!Q51+'Свод по посел.'!Q50</f>
        <v>74.5</v>
      </c>
      <c r="R51" s="184">
        <f>'район для расчетов (не печатать'!R51+'Свод по посел.'!R50</f>
        <v>81</v>
      </c>
      <c r="S51" s="214">
        <f>'район для расчетов (не печатать'!S51+'Свод по посел.'!S50</f>
        <v>233</v>
      </c>
      <c r="T51" s="184">
        <f>'район для расчетов (не печатать'!T51+'Свод по посел.'!T50</f>
        <v>76</v>
      </c>
      <c r="U51" s="184">
        <f>'район для расчетов (не печатать'!U51+'Свод по посел.'!U50</f>
        <v>75</v>
      </c>
      <c r="V51" s="184">
        <f>'район для расчетов (не печатать'!V51+'Свод по посел.'!V50</f>
        <v>82</v>
      </c>
      <c r="W51" s="214">
        <f>'район для расчетов (не печатать'!W51+'Свод по посел.'!W50</f>
        <v>231</v>
      </c>
      <c r="X51" s="184">
        <f>'район для расчетов (не печатать'!X51+'Свод по посел.'!X50</f>
        <v>75</v>
      </c>
      <c r="Y51" s="184">
        <f>'район для расчетов (не печатать'!Y51+'Свод по посел.'!Y50</f>
        <v>75</v>
      </c>
      <c r="Z51" s="184">
        <f>'район для расчетов (не печатать'!Z51+'Свод по посел.'!Z50</f>
        <v>81</v>
      </c>
      <c r="AA51" s="214">
        <f>'район для расчетов (не печатать'!AA51+'Свод по посел.'!AA50</f>
        <v>236</v>
      </c>
      <c r="AB51" s="184">
        <f>'район для расчетов (не печатать'!AB51+'Свод по посел.'!AB50</f>
        <v>77</v>
      </c>
      <c r="AC51" s="184">
        <f>'район для расчетов (не печатать'!AC51+'Свод по посел.'!AC50</f>
        <v>77</v>
      </c>
      <c r="AD51" s="184">
        <f>'район для расчетов (не печатать'!AD51+'Свод по посел.'!AD50</f>
        <v>82</v>
      </c>
      <c r="AE51" s="179">
        <f t="shared" si="0"/>
        <v>930</v>
      </c>
    </row>
    <row r="52" spans="1:31" ht="13.5" thickBot="1">
      <c r="A52" s="16"/>
      <c r="B52" s="112"/>
      <c r="C52" s="46"/>
      <c r="D52" s="46"/>
      <c r="E52" s="46"/>
      <c r="F52" s="46"/>
      <c r="G52" s="46"/>
      <c r="H52" s="46"/>
      <c r="I52" s="46"/>
      <c r="J52" s="150"/>
      <c r="K52" s="172">
        <f>'район для расчетов (не печатать'!K52+'Свод по посел.'!K51</f>
        <v>0</v>
      </c>
      <c r="O52" s="214">
        <f>'район для расчетов (не печатать'!O52+'Свод по посел.'!L51</f>
        <v>0</v>
      </c>
      <c r="P52" s="184">
        <f>'район для расчетов (не печатать'!P52+'Свод по посел.'!P51</f>
        <v>0</v>
      </c>
      <c r="Q52" s="184">
        <f>'район для расчетов (не печатать'!Q52+'Свод по посел.'!Q51</f>
        <v>0</v>
      </c>
      <c r="R52" s="184">
        <f>'район для расчетов (не печатать'!R52+'Свод по посел.'!R51</f>
        <v>0</v>
      </c>
      <c r="S52" s="214">
        <f>'район для расчетов (не печатать'!S52+'Свод по посел.'!S51</f>
        <v>0</v>
      </c>
      <c r="T52" s="184">
        <f>'район для расчетов (не печатать'!T52+'Свод по посел.'!T51</f>
        <v>0</v>
      </c>
      <c r="U52" s="184">
        <f>'район для расчетов (не печатать'!U52+'Свод по посел.'!U51</f>
        <v>0</v>
      </c>
      <c r="V52" s="184">
        <f>'район для расчетов (не печатать'!V52+'Свод по посел.'!V51</f>
        <v>0</v>
      </c>
      <c r="W52" s="214">
        <f>'район для расчетов (не печатать'!W52+'Свод по посел.'!W51</f>
        <v>0</v>
      </c>
      <c r="X52" s="184">
        <f>'район для расчетов (не печатать'!X52+'Свод по посел.'!X51</f>
        <v>0</v>
      </c>
      <c r="Y52" s="184">
        <f>'район для расчетов (не печатать'!Y52+'Свод по посел.'!Y51</f>
        <v>0</v>
      </c>
      <c r="Z52" s="184">
        <f>'район для расчетов (не печатать'!Z52+'Свод по посел.'!Z51</f>
        <v>0</v>
      </c>
      <c r="AA52" s="214">
        <f>'район для расчетов (не печатать'!AA52+'Свод по посел.'!AA51</f>
        <v>0</v>
      </c>
      <c r="AB52" s="184">
        <f>'район для расчетов (не печатать'!AB52+'Свод по посел.'!AB51</f>
        <v>0</v>
      </c>
      <c r="AC52" s="184">
        <f>'район для расчетов (не печатать'!AC52+'Свод по посел.'!AC51</f>
        <v>0</v>
      </c>
      <c r="AD52" s="184">
        <f>'район для расчетов (не печатать'!AD52+'Свод по посел.'!AD51</f>
        <v>0</v>
      </c>
      <c r="AE52" s="179">
        <f t="shared" si="0"/>
        <v>0</v>
      </c>
    </row>
    <row r="53" spans="1:31" ht="13.5" thickBot="1">
      <c r="A53" s="16"/>
      <c r="B53" s="112"/>
      <c r="C53" s="46"/>
      <c r="D53" s="46"/>
      <c r="E53" s="46"/>
      <c r="F53" s="46"/>
      <c r="G53" s="46"/>
      <c r="H53" s="46"/>
      <c r="I53" s="46"/>
      <c r="J53" s="150"/>
      <c r="K53" s="172">
        <f>'район для расчетов (не печатать'!K53+'Свод по посел.'!K52</f>
        <v>0</v>
      </c>
      <c r="O53" s="214">
        <f>'район для расчетов (не печатать'!O53+'Свод по посел.'!L52</f>
        <v>0</v>
      </c>
      <c r="P53" s="184">
        <f>'район для расчетов (не печатать'!P53+'Свод по посел.'!P52</f>
        <v>0</v>
      </c>
      <c r="Q53" s="184">
        <f>'район для расчетов (не печатать'!Q53+'Свод по посел.'!Q52</f>
        <v>0</v>
      </c>
      <c r="R53" s="184">
        <f>'район для расчетов (не печатать'!R53+'Свод по посел.'!R52</f>
        <v>0</v>
      </c>
      <c r="S53" s="214">
        <f>'район для расчетов (не печатать'!S53+'Свод по посел.'!S52</f>
        <v>0</v>
      </c>
      <c r="T53" s="184">
        <f>'район для расчетов (не печатать'!T53+'Свод по посел.'!T52</f>
        <v>0</v>
      </c>
      <c r="U53" s="184">
        <f>'район для расчетов (не печатать'!U53+'Свод по посел.'!U52</f>
        <v>0</v>
      </c>
      <c r="V53" s="184">
        <f>'район для расчетов (не печатать'!V53+'Свод по посел.'!V52</f>
        <v>0</v>
      </c>
      <c r="W53" s="214">
        <f>'район для расчетов (не печатать'!W53+'Свод по посел.'!W52</f>
        <v>0</v>
      </c>
      <c r="X53" s="184">
        <f>'район для расчетов (не печатать'!X53+'Свод по посел.'!X52</f>
        <v>0</v>
      </c>
      <c r="Y53" s="184">
        <f>'район для расчетов (не печатать'!Y53+'Свод по посел.'!Y52</f>
        <v>0</v>
      </c>
      <c r="Z53" s="184">
        <f>'район для расчетов (не печатать'!Z53+'Свод по посел.'!Z52</f>
        <v>0</v>
      </c>
      <c r="AA53" s="214">
        <f>'район для расчетов (не печатать'!AA53+'Свод по посел.'!AA52</f>
        <v>0</v>
      </c>
      <c r="AB53" s="184">
        <f>'район для расчетов (не печатать'!AB53+'Свод по посел.'!AB52</f>
        <v>0</v>
      </c>
      <c r="AC53" s="184">
        <f>'район для расчетов (не печатать'!AC53+'Свод по посел.'!AC52</f>
        <v>0</v>
      </c>
      <c r="AD53" s="184">
        <f>'район для расчетов (не печатать'!AD53+'Свод по посел.'!AD52</f>
        <v>0</v>
      </c>
      <c r="AE53" s="179">
        <f t="shared" si="0"/>
        <v>0</v>
      </c>
    </row>
    <row r="54" spans="1:31" ht="24.75" thickBot="1">
      <c r="A54" s="123" t="s">
        <v>157</v>
      </c>
      <c r="B54" s="122" t="s">
        <v>154</v>
      </c>
      <c r="C54" s="115" t="s">
        <v>66</v>
      </c>
      <c r="D54" s="115" t="s">
        <v>19</v>
      </c>
      <c r="E54" s="115" t="s">
        <v>63</v>
      </c>
      <c r="F54" s="115" t="s">
        <v>52</v>
      </c>
      <c r="G54" s="115" t="s">
        <v>14</v>
      </c>
      <c r="H54" s="115" t="s">
        <v>15</v>
      </c>
      <c r="I54" s="115" t="s">
        <v>16</v>
      </c>
      <c r="J54" s="161" t="s">
        <v>65</v>
      </c>
      <c r="K54" s="172">
        <f>'район для расчетов (не печатать'!K54+'Свод по посел.'!K53</f>
        <v>220</v>
      </c>
      <c r="O54" s="214">
        <f>'район для расчетов (не печатать'!O54+'Свод по посел.'!L53</f>
        <v>54</v>
      </c>
      <c r="P54" s="184">
        <f>'район для расчетов (не печатать'!P54+'Свод по посел.'!P53</f>
        <v>15.5</v>
      </c>
      <c r="Q54" s="184">
        <f>'район для расчетов (не печатать'!Q54+'Свод по посел.'!Q53</f>
        <v>17.5</v>
      </c>
      <c r="R54" s="184">
        <f>'район для расчетов (не печатать'!R54+'Свод по посел.'!R53</f>
        <v>21</v>
      </c>
      <c r="S54" s="214">
        <f>'район для расчетов (не печатать'!S54+'Свод по посел.'!S53</f>
        <v>56</v>
      </c>
      <c r="T54" s="184">
        <f>'район для расчетов (не печатать'!T54+'Свод по посел.'!T53</f>
        <v>17</v>
      </c>
      <c r="U54" s="184">
        <f>'район для расчетов (не печатать'!U54+'Свод по посел.'!U53</f>
        <v>18</v>
      </c>
      <c r="V54" s="184">
        <f>'район для расчетов (не печатать'!V54+'Свод по посел.'!V53</f>
        <v>21</v>
      </c>
      <c r="W54" s="214">
        <f>'район для расчетов (не печатать'!W54+'Свод по посел.'!W53</f>
        <v>53</v>
      </c>
      <c r="X54" s="184">
        <f>'район для расчетов (не печатать'!X54+'Свод по посел.'!X53</f>
        <v>15.5</v>
      </c>
      <c r="Y54" s="184">
        <f>'район для расчетов (не печатать'!Y54+'Свод по посел.'!Y53</f>
        <v>17</v>
      </c>
      <c r="Z54" s="184">
        <f>'район для расчетов (не печатать'!Z54+'Свод по посел.'!Z53</f>
        <v>20.5</v>
      </c>
      <c r="AA54" s="214">
        <f>'район для расчетов (не печатать'!AA54+'Свод по посел.'!AA53</f>
        <v>57</v>
      </c>
      <c r="AB54" s="184">
        <f>'район для расчетов (не печатать'!AB54+'Свод по посел.'!AB53</f>
        <v>18</v>
      </c>
      <c r="AC54" s="184">
        <f>'район для расчетов (не печатать'!AC54+'Свод по посел.'!AC53</f>
        <v>18</v>
      </c>
      <c r="AD54" s="184">
        <f>'район для расчетов (не печатать'!AD54+'Свод по посел.'!AD53</f>
        <v>21</v>
      </c>
      <c r="AE54" s="179">
        <f t="shared" si="0"/>
        <v>220</v>
      </c>
    </row>
    <row r="55" spans="1:31" ht="24.75" thickBot="1">
      <c r="A55" s="24"/>
      <c r="B55" s="113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151" t="s">
        <v>65</v>
      </c>
      <c r="K55" s="172">
        <f>'район для расчетов (не печатать'!K55+'Свод по посел.'!K54</f>
        <v>220</v>
      </c>
      <c r="O55" s="214">
        <f>'район для расчетов (не печатать'!O55+'Свод по посел.'!L54</f>
        <v>54</v>
      </c>
      <c r="P55" s="184">
        <f>'район для расчетов (не печатать'!P55+'Свод по посел.'!P54</f>
        <v>15.5</v>
      </c>
      <c r="Q55" s="184">
        <f>'район для расчетов (не печатать'!Q55+'Свод по посел.'!Q54</f>
        <v>17.5</v>
      </c>
      <c r="R55" s="184">
        <f>'район для расчетов (не печатать'!R55+'Свод по посел.'!R54</f>
        <v>21</v>
      </c>
      <c r="S55" s="214">
        <f>'район для расчетов (не печатать'!S55+'Свод по посел.'!S54</f>
        <v>56</v>
      </c>
      <c r="T55" s="184">
        <f>'район для расчетов (не печатать'!T55+'Свод по посел.'!T54</f>
        <v>17</v>
      </c>
      <c r="U55" s="184">
        <f>'район для расчетов (не печатать'!U55+'Свод по посел.'!U54</f>
        <v>18</v>
      </c>
      <c r="V55" s="184">
        <f>'район для расчетов (не печатать'!V55+'Свод по посел.'!V54</f>
        <v>21</v>
      </c>
      <c r="W55" s="214">
        <f>'район для расчетов (не печатать'!W55+'Свод по посел.'!W54</f>
        <v>53</v>
      </c>
      <c r="X55" s="184">
        <f>'район для расчетов (не печатать'!X55+'Свод по посел.'!X54</f>
        <v>15.5</v>
      </c>
      <c r="Y55" s="184">
        <f>'район для расчетов (не печатать'!Y55+'Свод по посел.'!Y54</f>
        <v>17</v>
      </c>
      <c r="Z55" s="184">
        <f>'район для расчетов (не печатать'!Z55+'Свод по посел.'!Z54</f>
        <v>20.5</v>
      </c>
      <c r="AA55" s="214">
        <f>'район для расчетов (не печатать'!AA55+'Свод по посел.'!AA54</f>
        <v>57</v>
      </c>
      <c r="AB55" s="184">
        <f>'район для расчетов (не печатать'!AB55+'Свод по посел.'!AB54</f>
        <v>18</v>
      </c>
      <c r="AC55" s="184">
        <f>'район для расчетов (не печатать'!AC55+'Свод по посел.'!AC54</f>
        <v>18</v>
      </c>
      <c r="AD55" s="184">
        <f>'район для расчетов (не печатать'!AD55+'Свод по посел.'!AD54</f>
        <v>21</v>
      </c>
      <c r="AE55" s="179">
        <f t="shared" si="0"/>
        <v>220</v>
      </c>
    </row>
    <row r="56" spans="1:31" ht="13.5" thickBot="1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148" t="s">
        <v>14</v>
      </c>
      <c r="K56" s="303">
        <f>'район для расчетов (не печатать'!K56+'Свод по посел.'!K55</f>
        <v>500</v>
      </c>
      <c r="O56" s="214">
        <f>'район для расчетов (не печатать'!O56+'Свод по посел.'!L55</f>
        <v>100</v>
      </c>
      <c r="P56" s="184">
        <f>'район для расчетов (не печатать'!P56+'Свод по посел.'!P55</f>
        <v>0</v>
      </c>
      <c r="Q56" s="184">
        <f>'район для расчетов (не печатать'!Q56+'Свод по посел.'!Q55</f>
        <v>30</v>
      </c>
      <c r="R56" s="184">
        <f>'район для расчетов (не печатать'!R56+'Свод по посел.'!R55</f>
        <v>70</v>
      </c>
      <c r="S56" s="214">
        <f>'район для расчетов (не печатать'!S56+'Свод по посел.'!S55</f>
        <v>100</v>
      </c>
      <c r="T56" s="184">
        <f>'район для расчетов (не печатать'!T56+'Свод по посел.'!T55</f>
        <v>30</v>
      </c>
      <c r="U56" s="184">
        <f>'район для расчетов (не печатать'!U56+'Свод по посел.'!U55</f>
        <v>0</v>
      </c>
      <c r="V56" s="184">
        <f>'район для расчетов (не печатать'!V56+'Свод по посел.'!V55</f>
        <v>70</v>
      </c>
      <c r="W56" s="214">
        <f>'район для расчетов (не печатать'!W56+'Свод по посел.'!W55</f>
        <v>100</v>
      </c>
      <c r="X56" s="184">
        <f>'район для расчетов (не печатать'!X56+'Свод по посел.'!X55</f>
        <v>30</v>
      </c>
      <c r="Y56" s="184">
        <f>'район для расчетов (не печатать'!Y56+'Свод по посел.'!Y55</f>
        <v>0</v>
      </c>
      <c r="Z56" s="184">
        <f>'район для расчетов (не печатать'!Z56+'Свод по посел.'!Z55</f>
        <v>70</v>
      </c>
      <c r="AA56" s="214">
        <f>'район для расчетов (не печатать'!AA56+'Свод по посел.'!AA55</f>
        <v>200</v>
      </c>
      <c r="AB56" s="184">
        <f>'район для расчетов (не печатать'!AB56+'Свод по посел.'!AB55</f>
        <v>30</v>
      </c>
      <c r="AC56" s="184">
        <f>'район для расчетов (не печатать'!AC56+'Свод по посел.'!AC55</f>
        <v>50</v>
      </c>
      <c r="AD56" s="184">
        <f>'район для расчетов (не печатать'!AD56+'Свод по посел.'!AD55</f>
        <v>120</v>
      </c>
      <c r="AE56" s="179">
        <f t="shared" si="0"/>
        <v>500</v>
      </c>
    </row>
    <row r="57" spans="1:31" ht="12.75">
      <c r="A57" s="123" t="s">
        <v>71</v>
      </c>
      <c r="B57" s="114" t="s">
        <v>72</v>
      </c>
      <c r="C57" s="115" t="s">
        <v>156</v>
      </c>
      <c r="D57" s="115" t="s">
        <v>19</v>
      </c>
      <c r="E57" s="115" t="s">
        <v>70</v>
      </c>
      <c r="F57" s="115" t="s">
        <v>20</v>
      </c>
      <c r="G57" s="115" t="s">
        <v>14</v>
      </c>
      <c r="H57" s="115" t="s">
        <v>20</v>
      </c>
      <c r="I57" s="115" t="s">
        <v>16</v>
      </c>
      <c r="J57" s="161" t="s">
        <v>65</v>
      </c>
      <c r="K57" s="172">
        <f>'район для расчетов (не печатать'!K57+'Свод по посел.'!K56</f>
        <v>500</v>
      </c>
      <c r="O57" s="214">
        <f>'район для расчетов (не печатать'!O57+'Свод по посел.'!L56</f>
        <v>100</v>
      </c>
      <c r="P57" s="184">
        <f>'район для расчетов (не печатать'!P57+'Свод по посел.'!P56</f>
        <v>0</v>
      </c>
      <c r="Q57" s="184">
        <f>'район для расчетов (не печатать'!Q57+'Свод по посел.'!Q56</f>
        <v>30</v>
      </c>
      <c r="R57" s="184">
        <f>'район для расчетов (не печатать'!R57+'Свод по посел.'!R56</f>
        <v>70</v>
      </c>
      <c r="S57" s="214">
        <f>'район для расчетов (не печатать'!S57+'Свод по посел.'!S56</f>
        <v>100</v>
      </c>
      <c r="T57" s="184">
        <f>'район для расчетов (не печатать'!T57+'Свод по посел.'!T56</f>
        <v>30</v>
      </c>
      <c r="U57" s="184">
        <f>'район для расчетов (не печатать'!U57+'Свод по посел.'!U56</f>
        <v>0</v>
      </c>
      <c r="V57" s="184">
        <f>'район для расчетов (не печатать'!V57+'Свод по посел.'!V56</f>
        <v>70</v>
      </c>
      <c r="W57" s="214">
        <f>'район для расчетов (не печатать'!W57+'Свод по посел.'!W56</f>
        <v>100</v>
      </c>
      <c r="X57" s="184">
        <f>'район для расчетов (не печатать'!X57+'Свод по посел.'!X56</f>
        <v>30</v>
      </c>
      <c r="Y57" s="184">
        <f>'район для расчетов (не печатать'!Y57+'Свод по посел.'!Y56</f>
        <v>0</v>
      </c>
      <c r="Z57" s="184">
        <f>'район для расчетов (не печатать'!Z57+'Свод по посел.'!Z56</f>
        <v>70</v>
      </c>
      <c r="AA57" s="214">
        <f>'район для расчетов (не печатать'!AA57+'Свод по посел.'!AA56</f>
        <v>200</v>
      </c>
      <c r="AB57" s="184">
        <f>'район для расчетов (не печатать'!AB57+'Свод по посел.'!AB56</f>
        <v>30</v>
      </c>
      <c r="AC57" s="184">
        <f>'район для расчетов (не печатать'!AC57+'Свод по посел.'!AC56</f>
        <v>50</v>
      </c>
      <c r="AD57" s="184">
        <f>'район для расчетов (не печатать'!AD57+'Свод по посел.'!AD56</f>
        <v>120</v>
      </c>
      <c r="AE57" s="179">
        <f t="shared" si="0"/>
        <v>500</v>
      </c>
    </row>
    <row r="58" spans="1:31" ht="13.5" hidden="1" thickBot="1">
      <c r="A58" s="123" t="s">
        <v>73</v>
      </c>
      <c r="B58" s="114" t="s">
        <v>74</v>
      </c>
      <c r="C58" s="115" t="s">
        <v>14</v>
      </c>
      <c r="D58" s="115" t="s">
        <v>19</v>
      </c>
      <c r="E58" s="115" t="s">
        <v>70</v>
      </c>
      <c r="F58" s="115" t="s">
        <v>77</v>
      </c>
      <c r="G58" s="115" t="s">
        <v>14</v>
      </c>
      <c r="H58" s="115" t="s">
        <v>15</v>
      </c>
      <c r="I58" s="115" t="s">
        <v>16</v>
      </c>
      <c r="J58" s="161" t="s">
        <v>65</v>
      </c>
      <c r="K58" s="172">
        <f>'район для расчетов (не печатать'!K58+'Свод по посел.'!K57</f>
        <v>0</v>
      </c>
      <c r="O58" s="214">
        <f>'район для расчетов (не печатать'!O58+'Свод по посел.'!L57</f>
        <v>0</v>
      </c>
      <c r="P58" s="184">
        <f>'район для расчетов (не печатать'!P58+'Свод по посел.'!P57</f>
        <v>0</v>
      </c>
      <c r="Q58" s="184">
        <f>'район для расчетов (не печатать'!Q58+'Свод по посел.'!Q57</f>
        <v>0</v>
      </c>
      <c r="R58" s="184">
        <f>'район для расчетов (не печатать'!R58+'Свод по посел.'!R57</f>
        <v>0</v>
      </c>
      <c r="S58" s="214">
        <f>'район для расчетов (не печатать'!S58+'Свод по посел.'!S57</f>
        <v>0</v>
      </c>
      <c r="T58" s="184">
        <f>'район для расчетов (не печатать'!T58+'Свод по посел.'!T57</f>
        <v>0</v>
      </c>
      <c r="U58" s="184">
        <f>'район для расчетов (не печатать'!U58+'Свод по посел.'!U57</f>
        <v>0</v>
      </c>
      <c r="V58" s="184">
        <f>'район для расчетов (не печатать'!V58+'Свод по посел.'!V57</f>
        <v>0</v>
      </c>
      <c r="W58" s="214">
        <f>'район для расчетов (не печатать'!W58+'Свод по посел.'!W57</f>
        <v>0</v>
      </c>
      <c r="X58" s="184">
        <f>'район для расчетов (не печатать'!X58+'Свод по посел.'!X57</f>
        <v>0</v>
      </c>
      <c r="Y58" s="184">
        <f>'район для расчетов (не печатать'!Y58+'Свод по посел.'!Y57</f>
        <v>0</v>
      </c>
      <c r="Z58" s="184">
        <f>'район для расчетов (не печатать'!Z58+'Свод по посел.'!Z57</f>
        <v>0</v>
      </c>
      <c r="AA58" s="214">
        <f>'район для расчетов (не печатать'!AA58+'Свод по посел.'!AA57</f>
        <v>0</v>
      </c>
      <c r="AB58" s="184">
        <f>'район для расчетов (не печатать'!AB58+'Свод по посел.'!AB57</f>
        <v>0</v>
      </c>
      <c r="AC58" s="184">
        <f>'район для расчетов (не печатать'!AC58+'Свод по посел.'!AC57</f>
        <v>0</v>
      </c>
      <c r="AD58" s="184">
        <f>'район для расчетов (не печатать'!AD58+'Свод по посел.'!AD57</f>
        <v>0</v>
      </c>
      <c r="AE58" s="179">
        <f t="shared" si="0"/>
        <v>0</v>
      </c>
    </row>
    <row r="59" spans="1:31" ht="24.75" hidden="1" thickBot="1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150" t="s">
        <v>65</v>
      </c>
      <c r="K59" s="172">
        <f>'район для расчетов (не печатать'!K59+'Свод по посел.'!K58</f>
        <v>0</v>
      </c>
      <c r="O59" s="214">
        <f>'район для расчетов (не печатать'!O59+'Свод по посел.'!L58</f>
        <v>0</v>
      </c>
      <c r="P59" s="184">
        <f>'район для расчетов (не печатать'!P59+'Свод по посел.'!P58</f>
        <v>0</v>
      </c>
      <c r="Q59" s="184">
        <f>'район для расчетов (не печатать'!Q59+'Свод по посел.'!Q58</f>
        <v>0</v>
      </c>
      <c r="R59" s="184">
        <f>'район для расчетов (не печатать'!R59+'Свод по посел.'!R58</f>
        <v>0</v>
      </c>
      <c r="S59" s="214">
        <f>'район для расчетов (не печатать'!S59+'Свод по посел.'!S58</f>
        <v>0</v>
      </c>
      <c r="T59" s="184">
        <f>'район для расчетов (не печатать'!T59+'Свод по посел.'!T58</f>
        <v>0</v>
      </c>
      <c r="U59" s="184">
        <f>'район для расчетов (не печатать'!U59+'Свод по посел.'!U58</f>
        <v>0</v>
      </c>
      <c r="V59" s="184">
        <f>'район для расчетов (не печатать'!V59+'Свод по посел.'!V58</f>
        <v>0</v>
      </c>
      <c r="W59" s="214">
        <f>'район для расчетов (не печатать'!W59+'Свод по посел.'!W58</f>
        <v>0</v>
      </c>
      <c r="X59" s="184">
        <f>'район для расчетов (не печатать'!X59+'Свод по посел.'!X58</f>
        <v>0</v>
      </c>
      <c r="Y59" s="184">
        <f>'район для расчетов (не печатать'!Y59+'Свод по посел.'!Y58</f>
        <v>0</v>
      </c>
      <c r="Z59" s="184">
        <f>'район для расчетов (не печатать'!Z59+'Свод по посел.'!Z58</f>
        <v>0</v>
      </c>
      <c r="AA59" s="214">
        <f>'район для расчетов (не печатать'!AA59+'Свод по посел.'!AA58</f>
        <v>0</v>
      </c>
      <c r="AB59" s="184">
        <f>'район для расчетов (не печатать'!AB59+'Свод по посел.'!AB58</f>
        <v>0</v>
      </c>
      <c r="AC59" s="184">
        <f>'район для расчетов (не печатать'!AC59+'Свод по посел.'!AC58</f>
        <v>0</v>
      </c>
      <c r="AD59" s="184">
        <f>'район для расчетов (не печатать'!AD59+'Свод по посел.'!AD58</f>
        <v>0</v>
      </c>
      <c r="AE59" s="179">
        <f t="shared" si="0"/>
        <v>0</v>
      </c>
    </row>
    <row r="60" spans="1:31" ht="24.75" hidden="1" thickBot="1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150" t="s">
        <v>65</v>
      </c>
      <c r="K60" s="172">
        <f>'район для расчетов (не печатать'!K60+'Свод по посел.'!K59</f>
        <v>0</v>
      </c>
      <c r="O60" s="214">
        <f>'район для расчетов (не печатать'!O60+'Свод по посел.'!L59</f>
        <v>0</v>
      </c>
      <c r="P60" s="184">
        <f>'район для расчетов (не печатать'!P60+'Свод по посел.'!P59</f>
        <v>0</v>
      </c>
      <c r="Q60" s="184">
        <f>'район для расчетов (не печатать'!Q60+'Свод по посел.'!Q59</f>
        <v>0</v>
      </c>
      <c r="R60" s="184">
        <f>'район для расчетов (не печатать'!R60+'Свод по посел.'!R59</f>
        <v>0</v>
      </c>
      <c r="S60" s="214">
        <f>'район для расчетов (не печатать'!S60+'Свод по посел.'!S59</f>
        <v>0</v>
      </c>
      <c r="T60" s="184">
        <f>'район для расчетов (не печатать'!T60+'Свод по посел.'!T59</f>
        <v>0</v>
      </c>
      <c r="U60" s="184">
        <f>'район для расчетов (не печатать'!U60+'Свод по посел.'!U59</f>
        <v>0</v>
      </c>
      <c r="V60" s="184">
        <f>'район для расчетов (не печатать'!V60+'Свод по посел.'!V59</f>
        <v>0</v>
      </c>
      <c r="W60" s="214">
        <f>'район для расчетов (не печатать'!W60+'Свод по посел.'!W59</f>
        <v>0</v>
      </c>
      <c r="X60" s="184">
        <f>'район для расчетов (не печатать'!X60+'Свод по посел.'!X59</f>
        <v>0</v>
      </c>
      <c r="Y60" s="184">
        <f>'район для расчетов (не печатать'!Y60+'Свод по посел.'!Y59</f>
        <v>0</v>
      </c>
      <c r="Z60" s="184">
        <f>'район для расчетов (не печатать'!Z60+'Свод по посел.'!Z59</f>
        <v>0</v>
      </c>
      <c r="AA60" s="214">
        <f>'район для расчетов (не печатать'!AA60+'Свод по посел.'!AA59</f>
        <v>0</v>
      </c>
      <c r="AB60" s="184">
        <f>'район для расчетов (не печатать'!AB60+'Свод по посел.'!AB59</f>
        <v>0</v>
      </c>
      <c r="AC60" s="184">
        <f>'район для расчетов (не печатать'!AC60+'Свод по посел.'!AC59</f>
        <v>0</v>
      </c>
      <c r="AD60" s="184">
        <f>'район для расчетов (не печатать'!AD60+'Свод по посел.'!AD59</f>
        <v>0</v>
      </c>
      <c r="AE60" s="179">
        <f t="shared" si="0"/>
        <v>0</v>
      </c>
    </row>
    <row r="61" spans="1:31" ht="24.75" hidden="1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151" t="s">
        <v>65</v>
      </c>
      <c r="K61" s="172">
        <f>'район для расчетов (не печатать'!K61+'Свод по посел.'!K60</f>
        <v>0</v>
      </c>
      <c r="O61" s="214">
        <f>'район для расчетов (не печатать'!O61+'Свод по посел.'!L60</f>
        <v>0</v>
      </c>
      <c r="P61" s="184">
        <f>'район для расчетов (не печатать'!P61+'Свод по посел.'!P60</f>
        <v>0</v>
      </c>
      <c r="Q61" s="184">
        <f>'район для расчетов (не печатать'!Q61+'Свод по посел.'!Q60</f>
        <v>0</v>
      </c>
      <c r="R61" s="184">
        <f>'район для расчетов (не печатать'!R61+'Свод по посел.'!R60</f>
        <v>0</v>
      </c>
      <c r="S61" s="214">
        <f>'район для расчетов (не печатать'!S61+'Свод по посел.'!S60</f>
        <v>0</v>
      </c>
      <c r="T61" s="184">
        <f>'район для расчетов (не печатать'!T61+'Свод по посел.'!T60</f>
        <v>0</v>
      </c>
      <c r="U61" s="184">
        <f>'район для расчетов (не печатать'!U61+'Свод по посел.'!U60</f>
        <v>0</v>
      </c>
      <c r="V61" s="184">
        <f>'район для расчетов (не печатать'!V61+'Свод по посел.'!V60</f>
        <v>0</v>
      </c>
      <c r="W61" s="214">
        <f>'район для расчетов (не печатать'!W61+'Свод по посел.'!W60</f>
        <v>0</v>
      </c>
      <c r="X61" s="184">
        <f>'район для расчетов (не печатать'!X61+'Свод по посел.'!X60</f>
        <v>0</v>
      </c>
      <c r="Y61" s="184">
        <f>'район для расчетов (не печатать'!Y61+'Свод по посел.'!Y60</f>
        <v>0</v>
      </c>
      <c r="Z61" s="184">
        <f>'район для расчетов (не печатать'!Z61+'Свод по посел.'!Z60</f>
        <v>0</v>
      </c>
      <c r="AA61" s="214">
        <f>'район для расчетов (не печатать'!AA61+'Свод по посел.'!AA60</f>
        <v>0</v>
      </c>
      <c r="AB61" s="184">
        <f>'район для расчетов (не печатать'!AB61+'Свод по посел.'!AB60</f>
        <v>0</v>
      </c>
      <c r="AC61" s="184">
        <f>'район для расчетов (не печатать'!AC61+'Свод по посел.'!AC60</f>
        <v>0</v>
      </c>
      <c r="AD61" s="184">
        <f>'район для расчетов (не печатать'!AD61+'Свод по посел.'!AD60</f>
        <v>0</v>
      </c>
      <c r="AE61" s="179">
        <f t="shared" si="0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304">
        <f aca="true" t="shared" si="2" ref="K62:O63">K63</f>
        <v>550</v>
      </c>
      <c r="L62" s="68">
        <f t="shared" si="2"/>
        <v>0</v>
      </c>
      <c r="M62" s="68">
        <f t="shared" si="2"/>
        <v>0</v>
      </c>
      <c r="N62" s="68">
        <f t="shared" si="2"/>
        <v>0</v>
      </c>
      <c r="O62" s="224">
        <f t="shared" si="2"/>
        <v>0</v>
      </c>
      <c r="P62" s="68"/>
      <c r="Q62" s="68"/>
      <c r="R62" s="68"/>
      <c r="S62" s="224">
        <f>S63</f>
        <v>0</v>
      </c>
      <c r="T62" s="68"/>
      <c r="U62" s="68"/>
      <c r="V62" s="68"/>
      <c r="W62" s="224">
        <f>W63</f>
        <v>210</v>
      </c>
      <c r="X62" s="68"/>
      <c r="Y62" s="68"/>
      <c r="Z62" s="68"/>
      <c r="AA62" s="244">
        <v>150</v>
      </c>
      <c r="AB62" s="249"/>
      <c r="AC62" s="249"/>
      <c r="AD62" s="249"/>
      <c r="AE62" s="302">
        <f t="shared" si="0"/>
        <v>360</v>
      </c>
    </row>
    <row r="63" spans="1:31" ht="24.75" thickBot="1">
      <c r="A63" s="126" t="s">
        <v>115</v>
      </c>
      <c r="B63" s="272" t="s">
        <v>217</v>
      </c>
      <c r="C63" s="129" t="s">
        <v>66</v>
      </c>
      <c r="D63" s="129" t="s">
        <v>19</v>
      </c>
      <c r="E63" s="129" t="s">
        <v>218</v>
      </c>
      <c r="F63" s="129" t="s">
        <v>23</v>
      </c>
      <c r="G63" s="129" t="s">
        <v>219</v>
      </c>
      <c r="H63" s="129" t="s">
        <v>38</v>
      </c>
      <c r="I63" s="129" t="s">
        <v>16</v>
      </c>
      <c r="J63" s="129" t="s">
        <v>101</v>
      </c>
      <c r="K63" s="68">
        <v>550</v>
      </c>
      <c r="L63" s="68">
        <f t="shared" si="2"/>
        <v>0</v>
      </c>
      <c r="M63" s="68">
        <f t="shared" si="2"/>
        <v>0</v>
      </c>
      <c r="N63" s="68">
        <f t="shared" si="2"/>
        <v>0</v>
      </c>
      <c r="O63" s="224">
        <f t="shared" si="2"/>
        <v>0</v>
      </c>
      <c r="P63" s="68"/>
      <c r="Q63" s="68"/>
      <c r="R63" s="68"/>
      <c r="S63" s="224">
        <f>S64</f>
        <v>0</v>
      </c>
      <c r="T63" s="68"/>
      <c r="U63" s="68"/>
      <c r="V63" s="68"/>
      <c r="W63" s="224">
        <v>210</v>
      </c>
      <c r="X63" s="68">
        <v>50</v>
      </c>
      <c r="Y63" s="68">
        <v>80</v>
      </c>
      <c r="Z63" s="68">
        <v>80</v>
      </c>
      <c r="AA63" s="244">
        <v>240</v>
      </c>
      <c r="AB63" s="249">
        <v>80</v>
      </c>
      <c r="AC63" s="249">
        <v>80</v>
      </c>
      <c r="AD63" s="249">
        <v>80</v>
      </c>
      <c r="AE63" s="248">
        <f>SUM(O63:AD63)</f>
        <v>900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154" t="s">
        <v>118</v>
      </c>
      <c r="K64" s="172">
        <f>'район для расчетов (не печатать'!K64+'Свод по посел.'!K63</f>
        <v>0</v>
      </c>
      <c r="O64" s="214">
        <f>'район для расчетов (не печатать'!O64+'Свод по посел.'!L63</f>
        <v>0</v>
      </c>
      <c r="P64" s="184">
        <f>'район для расчетов (не печатать'!P64+'Свод по посел.'!P63</f>
        <v>0</v>
      </c>
      <c r="Q64" s="184">
        <f>'район для расчетов (не печатать'!Q64+'Свод по посел.'!Q63</f>
        <v>0</v>
      </c>
      <c r="R64" s="184">
        <f>'район для расчетов (не печатать'!R64+'Свод по посел.'!R63</f>
        <v>0</v>
      </c>
      <c r="S64" s="214">
        <f>'район для расчетов (не печатать'!S64+'Свод по посел.'!S63</f>
        <v>0</v>
      </c>
      <c r="T64" s="184">
        <f>'район для расчетов (не печатать'!T64+'Свод по посел.'!T63</f>
        <v>0</v>
      </c>
      <c r="U64" s="184">
        <f>'район для расчетов (не печатать'!U64+'Свод по посел.'!U63</f>
        <v>0</v>
      </c>
      <c r="V64" s="184">
        <f>'район для расчетов (не печатать'!V64+'Свод по посел.'!V63</f>
        <v>0</v>
      </c>
      <c r="W64" s="214">
        <f>'район для расчетов (не печатать'!W64+'Свод по посел.'!W63</f>
        <v>0</v>
      </c>
      <c r="X64" s="184">
        <f>'район для расчетов (не печатать'!X64+'Свод по посел.'!X63</f>
        <v>0</v>
      </c>
      <c r="Y64" s="184">
        <f>'район для расчетов (не печатать'!Y64+'Свод по посел.'!Y63</f>
        <v>0</v>
      </c>
      <c r="Z64" s="184">
        <f>'район для расчетов (не печатать'!Z64+'Свод по посел.'!Z63</f>
        <v>0</v>
      </c>
      <c r="AA64" s="214">
        <f>'район для расчетов (не печатать'!AA64+'Свод по посел.'!AA63</f>
        <v>0</v>
      </c>
      <c r="AB64" s="184">
        <f>'район для расчетов (не печатать'!AB64+'Свод по посел.'!AB63</f>
        <v>0</v>
      </c>
      <c r="AC64" s="184">
        <f>'район для расчетов (не печатать'!AC64+'Свод по посел.'!AC63</f>
        <v>0</v>
      </c>
      <c r="AD64" s="184">
        <f>'район для расчетов (не печатать'!AD64+'Свод по посел.'!AD63</f>
        <v>0</v>
      </c>
      <c r="AE64" s="179">
        <f t="shared" si="0"/>
        <v>0</v>
      </c>
    </row>
    <row r="65" spans="1:31" ht="13.5" hidden="1" thickBot="1">
      <c r="A65" s="29"/>
      <c r="B65" s="89"/>
      <c r="C65" s="54"/>
      <c r="D65" s="54"/>
      <c r="E65" s="54"/>
      <c r="F65" s="54"/>
      <c r="G65" s="54"/>
      <c r="H65" s="54"/>
      <c r="I65" s="54"/>
      <c r="J65" s="154"/>
      <c r="K65" s="172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  <c r="AE65" s="179">
        <f t="shared" si="0"/>
        <v>0</v>
      </c>
    </row>
    <row r="66" spans="1:31" ht="13.5" thickBot="1">
      <c r="A66" s="28" t="s">
        <v>111</v>
      </c>
      <c r="B66" s="90" t="s">
        <v>81</v>
      </c>
      <c r="C66" s="50" t="s">
        <v>14</v>
      </c>
      <c r="D66" s="50" t="s">
        <v>19</v>
      </c>
      <c r="E66" s="50" t="s">
        <v>82</v>
      </c>
      <c r="F66" s="50" t="s">
        <v>158</v>
      </c>
      <c r="G66" s="50" t="s">
        <v>85</v>
      </c>
      <c r="H66" s="50" t="s">
        <v>15</v>
      </c>
      <c r="I66" s="50" t="s">
        <v>16</v>
      </c>
      <c r="J66" s="152" t="s">
        <v>14</v>
      </c>
      <c r="K66" s="303">
        <f>'район для расчетов (не печатать'!K65+'Свод по посел.'!K64</f>
        <v>2000</v>
      </c>
      <c r="O66" s="214">
        <f>'район для расчетов (не печатать'!O65+'Свод по посел.'!L64</f>
        <v>302</v>
      </c>
      <c r="P66" s="184">
        <f>'район для расчетов (не печатать'!P65+'Свод по посел.'!P64</f>
        <v>0</v>
      </c>
      <c r="Q66" s="184">
        <f>'район для расчетов (не печатать'!Q65+'Свод по посел.'!Q64</f>
        <v>112</v>
      </c>
      <c r="R66" s="184">
        <f>'район для расчетов (не печатать'!R65+'Свод по посел.'!R64</f>
        <v>190</v>
      </c>
      <c r="S66" s="214">
        <f>'район для расчетов (не печатать'!S65+'Свод по посел.'!S64</f>
        <v>524</v>
      </c>
      <c r="T66" s="184">
        <f>'район для расчетов (не печатать'!T65+'Свод по посел.'!T64</f>
        <v>190</v>
      </c>
      <c r="U66" s="184">
        <f>'район для расчетов (не печатать'!U65+'Свод по посел.'!U64</f>
        <v>160</v>
      </c>
      <c r="V66" s="184">
        <f>'район для расчетов (не печатать'!V65+'Свод по посел.'!V64</f>
        <v>174</v>
      </c>
      <c r="W66" s="214">
        <f>'район для расчетов (не печатать'!W65+'Свод по посел.'!W64</f>
        <v>479</v>
      </c>
      <c r="X66" s="184">
        <f>'район для расчетов (не печатать'!X65+'Свод по посел.'!X64</f>
        <v>145</v>
      </c>
      <c r="Y66" s="184">
        <f>'район для расчетов (не печатать'!Y65+'Свод по посел.'!Y64</f>
        <v>167</v>
      </c>
      <c r="Z66" s="184">
        <f>'район для расчетов (не печатать'!Z65+'Свод по посел.'!Z64</f>
        <v>167</v>
      </c>
      <c r="AA66" s="214">
        <f>'район для расчетов (не печатать'!AA65+'Свод по посел.'!AA64</f>
        <v>695</v>
      </c>
      <c r="AB66" s="184">
        <f>'район для расчетов (не печатать'!AB65+'Свод по посел.'!AB64</f>
        <v>233</v>
      </c>
      <c r="AC66" s="184">
        <f>'район для расчетов (не печатать'!AC65+'Свод по посел.'!AC64</f>
        <v>233</v>
      </c>
      <c r="AD66" s="184">
        <f>'район для расчетов (не печатать'!AD65+'Свод по посел.'!AD64</f>
        <v>229</v>
      </c>
      <c r="AE66" s="179">
        <f t="shared" si="0"/>
        <v>2000</v>
      </c>
    </row>
    <row r="67" spans="1:31" ht="13.5" thickBot="1">
      <c r="A67" s="29" t="s">
        <v>112</v>
      </c>
      <c r="B67" s="132" t="s">
        <v>83</v>
      </c>
      <c r="C67" s="59" t="s">
        <v>66</v>
      </c>
      <c r="D67" s="59" t="s">
        <v>19</v>
      </c>
      <c r="E67" s="59" t="s">
        <v>84</v>
      </c>
      <c r="F67" s="59" t="s">
        <v>38</v>
      </c>
      <c r="G67" s="59" t="s">
        <v>159</v>
      </c>
      <c r="H67" s="59" t="s">
        <v>38</v>
      </c>
      <c r="I67" s="59" t="s">
        <v>16</v>
      </c>
      <c r="J67" s="163" t="s">
        <v>86</v>
      </c>
      <c r="K67" s="303">
        <f>'район для расчетов (не печатать'!K66+'Свод по посел.'!K65</f>
        <v>200</v>
      </c>
      <c r="O67" s="214">
        <f>'район для расчетов (не печатать'!O66+'Свод по посел.'!L65</f>
        <v>0</v>
      </c>
      <c r="P67" s="184">
        <f>'район для расчетов (не печатать'!P66+'Свод по посел.'!P65</f>
        <v>0</v>
      </c>
      <c r="Q67" s="184">
        <f>'район для расчетов (не печатать'!Q66+'Свод по посел.'!Q65</f>
        <v>0</v>
      </c>
      <c r="R67" s="184">
        <f>'район для расчетов (не печатать'!R66+'Свод по посел.'!R65</f>
        <v>0</v>
      </c>
      <c r="S67" s="214">
        <f>'район для расчетов (не печатать'!S66+'Свод по посел.'!S65</f>
        <v>114</v>
      </c>
      <c r="T67" s="184">
        <f>'район для расчетов (не печатать'!T66+'Свод по посел.'!T65</f>
        <v>0</v>
      </c>
      <c r="U67" s="184">
        <f>'район для расчетов (не печатать'!U66+'Свод по посел.'!U65</f>
        <v>0</v>
      </c>
      <c r="V67" s="184">
        <f>'район для расчетов (не печатать'!V66+'Свод по посел.'!V65</f>
        <v>114</v>
      </c>
      <c r="W67" s="214">
        <f>'район для расчетов (не печатать'!W66+'Свод по посел.'!W65</f>
        <v>43</v>
      </c>
      <c r="X67" s="184">
        <f>'район для расчетов (не печатать'!X66+'Свод по посел.'!X65</f>
        <v>0</v>
      </c>
      <c r="Y67" s="184">
        <f>'район для расчетов (не печатать'!Y66+'Свод по посел.'!Y65</f>
        <v>21</v>
      </c>
      <c r="Z67" s="184">
        <f>'район для расчетов (не печатать'!Z66+'Свод по посел.'!Z65</f>
        <v>22</v>
      </c>
      <c r="AA67" s="214">
        <f>'район для расчетов (не печатать'!AA66+'Свод по посел.'!AA65</f>
        <v>43</v>
      </c>
      <c r="AB67" s="184">
        <f>'район для расчетов (не печатать'!AB66+'Свод по посел.'!AB65</f>
        <v>14</v>
      </c>
      <c r="AC67" s="184">
        <f>'район для расчетов (не печатать'!AC66+'Свод по посел.'!AC65</f>
        <v>14</v>
      </c>
      <c r="AD67" s="184">
        <f>'район для расчетов (не печатать'!AD66+'Свод по посел.'!AD65</f>
        <v>15</v>
      </c>
      <c r="AE67" s="179">
        <f t="shared" si="0"/>
        <v>200</v>
      </c>
    </row>
    <row r="68" spans="1:32" ht="13.5" thickBot="1">
      <c r="A68" s="30" t="s">
        <v>87</v>
      </c>
      <c r="B68" s="91" t="s">
        <v>88</v>
      </c>
      <c r="C68" s="42" t="s">
        <v>14</v>
      </c>
      <c r="D68" s="42" t="s">
        <v>89</v>
      </c>
      <c r="E68" s="42" t="s">
        <v>15</v>
      </c>
      <c r="F68" s="42" t="s">
        <v>15</v>
      </c>
      <c r="G68" s="42" t="s">
        <v>14</v>
      </c>
      <c r="H68" s="42" t="s">
        <v>15</v>
      </c>
      <c r="I68" s="42" t="s">
        <v>16</v>
      </c>
      <c r="J68" s="148" t="s">
        <v>14</v>
      </c>
      <c r="K68" s="173">
        <f>K70+K74+K92+K104+K89+K90+K91</f>
        <v>228641.40000000002</v>
      </c>
      <c r="L68" s="173">
        <f aca="true" t="shared" si="3" ref="L68:AE68">L70+L74+L92+L104+L89+L90+L91</f>
        <v>0</v>
      </c>
      <c r="M68" s="173">
        <f t="shared" si="3"/>
        <v>0</v>
      </c>
      <c r="N68" s="173">
        <f t="shared" si="3"/>
        <v>0</v>
      </c>
      <c r="O68" s="173">
        <f t="shared" si="3"/>
        <v>57669</v>
      </c>
      <c r="P68" s="173">
        <f t="shared" si="3"/>
        <v>21689.5</v>
      </c>
      <c r="Q68" s="173">
        <f t="shared" si="3"/>
        <v>20540</v>
      </c>
      <c r="R68" s="173">
        <f t="shared" si="3"/>
        <v>15439.5</v>
      </c>
      <c r="S68" s="173">
        <f t="shared" si="3"/>
        <v>64039.1</v>
      </c>
      <c r="T68" s="173">
        <f t="shared" si="3"/>
        <v>18367.5</v>
      </c>
      <c r="U68" s="173">
        <f t="shared" si="3"/>
        <v>18368</v>
      </c>
      <c r="V68" s="173">
        <f t="shared" si="3"/>
        <v>27303.6</v>
      </c>
      <c r="W68" s="173">
        <f t="shared" si="3"/>
        <v>49594.8</v>
      </c>
      <c r="X68" s="173">
        <f t="shared" si="3"/>
        <v>16056</v>
      </c>
      <c r="Y68" s="173">
        <f t="shared" si="3"/>
        <v>16241.5</v>
      </c>
      <c r="Z68" s="173">
        <f t="shared" si="3"/>
        <v>17297.3</v>
      </c>
      <c r="AA68" s="173">
        <f t="shared" si="3"/>
        <v>57338.5</v>
      </c>
      <c r="AB68" s="173">
        <f t="shared" si="3"/>
        <v>19082.5</v>
      </c>
      <c r="AC68" s="173">
        <f t="shared" si="3"/>
        <v>19082.5</v>
      </c>
      <c r="AD68" s="173">
        <f t="shared" si="3"/>
        <v>19352.7</v>
      </c>
      <c r="AE68" s="173">
        <f t="shared" si="3"/>
        <v>224139.4</v>
      </c>
      <c r="AF68" s="308">
        <f>O68+S68+W68+AA68</f>
        <v>228641.40000000002</v>
      </c>
    </row>
    <row r="69" spans="1:31" ht="13.5" thickBot="1">
      <c r="A69" s="19"/>
      <c r="B69" s="17" t="s">
        <v>90</v>
      </c>
      <c r="C69" s="44" t="s">
        <v>14</v>
      </c>
      <c r="D69" s="44" t="s">
        <v>89</v>
      </c>
      <c r="E69" s="44" t="s">
        <v>23</v>
      </c>
      <c r="F69" s="44" t="s">
        <v>15</v>
      </c>
      <c r="G69" s="44" t="s">
        <v>14</v>
      </c>
      <c r="H69" s="44" t="s">
        <v>15</v>
      </c>
      <c r="I69" s="44" t="s">
        <v>16</v>
      </c>
      <c r="J69" s="149" t="s">
        <v>14</v>
      </c>
      <c r="K69" s="172">
        <f>'район для расчетов (не печатать'!K68+'Свод по посел.'!K67</f>
        <v>0</v>
      </c>
      <c r="O69" s="214">
        <f>'район для расчетов (не печатать'!O68+'Свод по посел.'!L67</f>
        <v>0</v>
      </c>
      <c r="P69" s="184">
        <f>'район для расчетов (не печатать'!P68+'Свод по посел.'!P67</f>
        <v>0</v>
      </c>
      <c r="Q69" s="184">
        <f>'район для расчетов (не печатать'!Q68+'Свод по посел.'!Q67</f>
        <v>0</v>
      </c>
      <c r="R69" s="184">
        <f>'район для расчетов (не печатать'!R68+'Свод по посел.'!R67</f>
        <v>0</v>
      </c>
      <c r="S69" s="214">
        <f>'район для расчетов (не печатать'!S68+'Свод по посел.'!S67</f>
        <v>0</v>
      </c>
      <c r="T69" s="184">
        <f>'район для расчетов (не печатать'!T68+'Свод по посел.'!T67</f>
        <v>0</v>
      </c>
      <c r="U69" s="184">
        <f>'район для расчетов (не печатать'!U68+'Свод по посел.'!U67</f>
        <v>0</v>
      </c>
      <c r="V69" s="184">
        <f>'район для расчетов (не печатать'!V68+'Свод по посел.'!V67</f>
        <v>0</v>
      </c>
      <c r="W69" s="214">
        <f>'район для расчетов (не печатать'!W68+'Свод по посел.'!W67</f>
        <v>0</v>
      </c>
      <c r="X69" s="184">
        <f>'район для расчетов (не печатать'!X68+'Свод по посел.'!X67</f>
        <v>0</v>
      </c>
      <c r="Y69" s="184">
        <f>'район для расчетов (не печатать'!Y68+'Свод по посел.'!Y67</f>
        <v>0</v>
      </c>
      <c r="Z69" s="184">
        <f>'район для расчетов (не печатать'!Z68+'Свод по посел.'!Z67</f>
        <v>0</v>
      </c>
      <c r="AA69" s="214">
        <f>'район для расчетов (не печатать'!AA68+'Свод по посел.'!AA67</f>
        <v>0</v>
      </c>
      <c r="AB69" s="184">
        <f>'район для расчетов (не печатать'!AB68+'Свод по посел.'!AB67</f>
        <v>0</v>
      </c>
      <c r="AC69" s="184">
        <f>'район для расчетов (не печатать'!AC68+'Свод по посел.'!AC67</f>
        <v>0</v>
      </c>
      <c r="AD69" s="184">
        <f>'район для расчетов (не печатать'!AD68+'Свод по посел.'!AD67</f>
        <v>0</v>
      </c>
      <c r="AE69" s="179">
        <f t="shared" si="0"/>
        <v>0</v>
      </c>
    </row>
    <row r="70" spans="1:31" ht="13.5" customHeight="1" thickBot="1">
      <c r="A70" s="109" t="s">
        <v>17</v>
      </c>
      <c r="B70" s="17" t="s">
        <v>161</v>
      </c>
      <c r="C70" s="44" t="s">
        <v>196</v>
      </c>
      <c r="D70" s="44" t="s">
        <v>89</v>
      </c>
      <c r="E70" s="44" t="s">
        <v>23</v>
      </c>
      <c r="F70" s="44" t="s">
        <v>20</v>
      </c>
      <c r="G70" s="44" t="s">
        <v>27</v>
      </c>
      <c r="H70" s="44" t="s">
        <v>15</v>
      </c>
      <c r="I70" s="44" t="s">
        <v>16</v>
      </c>
      <c r="J70" s="149" t="s">
        <v>91</v>
      </c>
      <c r="K70" s="298">
        <f>K72+K73</f>
        <v>79979</v>
      </c>
      <c r="L70" s="298">
        <f aca="true" t="shared" si="4" ref="L70:AA70">L72+L73</f>
        <v>0</v>
      </c>
      <c r="M70" s="298">
        <f t="shared" si="4"/>
        <v>0</v>
      </c>
      <c r="N70" s="298">
        <f t="shared" si="4"/>
        <v>0</v>
      </c>
      <c r="O70" s="298">
        <f t="shared" si="4"/>
        <v>16878</v>
      </c>
      <c r="P70" s="298">
        <f t="shared" si="4"/>
        <v>7379</v>
      </c>
      <c r="Q70" s="298">
        <f t="shared" si="4"/>
        <v>7232</v>
      </c>
      <c r="R70" s="298">
        <f t="shared" si="4"/>
        <v>2267</v>
      </c>
      <c r="S70" s="298">
        <f t="shared" si="4"/>
        <v>22832</v>
      </c>
      <c r="T70" s="298">
        <f t="shared" si="4"/>
        <v>5047</v>
      </c>
      <c r="U70" s="298">
        <f t="shared" si="4"/>
        <v>5047</v>
      </c>
      <c r="V70" s="298">
        <f t="shared" si="4"/>
        <v>12738</v>
      </c>
      <c r="W70" s="298">
        <f t="shared" si="4"/>
        <v>15553</v>
      </c>
      <c r="X70" s="298">
        <f t="shared" si="4"/>
        <v>5183</v>
      </c>
      <c r="Y70" s="298">
        <f t="shared" si="4"/>
        <v>5183</v>
      </c>
      <c r="Z70" s="298">
        <f t="shared" si="4"/>
        <v>5187</v>
      </c>
      <c r="AA70" s="298">
        <f t="shared" si="4"/>
        <v>24716</v>
      </c>
      <c r="AB70" s="172">
        <f>AB72</f>
        <v>8217</v>
      </c>
      <c r="AC70" s="172">
        <f>AC72</f>
        <v>8217</v>
      </c>
      <c r="AD70" s="172">
        <f>AD72</f>
        <v>8221</v>
      </c>
      <c r="AE70" s="179">
        <f t="shared" si="0"/>
        <v>79979</v>
      </c>
    </row>
    <row r="71" spans="1:31" ht="13.5" thickBot="1">
      <c r="A71" s="110" t="s">
        <v>102</v>
      </c>
      <c r="B71" s="135" t="s">
        <v>160</v>
      </c>
      <c r="C71" s="117" t="s">
        <v>196</v>
      </c>
      <c r="D71" s="117" t="s">
        <v>89</v>
      </c>
      <c r="E71" s="117" t="s">
        <v>23</v>
      </c>
      <c r="F71" s="117" t="s">
        <v>20</v>
      </c>
      <c r="G71" s="117" t="s">
        <v>27</v>
      </c>
      <c r="H71" s="117" t="s">
        <v>112</v>
      </c>
      <c r="I71" s="117" t="s">
        <v>16</v>
      </c>
      <c r="J71" s="162" t="s">
        <v>91</v>
      </c>
      <c r="K71" s="172"/>
      <c r="N71">
        <v>68152</v>
      </c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  <c r="AE71" s="179">
        <f t="shared" si="0"/>
        <v>0</v>
      </c>
    </row>
    <row r="72" spans="1:31" ht="24.75" thickBot="1">
      <c r="A72" s="110" t="s">
        <v>162</v>
      </c>
      <c r="B72" s="135" t="s">
        <v>145</v>
      </c>
      <c r="C72" s="117" t="s">
        <v>196</v>
      </c>
      <c r="D72" s="117" t="s">
        <v>89</v>
      </c>
      <c r="E72" s="117" t="s">
        <v>23</v>
      </c>
      <c r="F72" s="117" t="s">
        <v>20</v>
      </c>
      <c r="G72" s="117" t="s">
        <v>27</v>
      </c>
      <c r="H72" s="117" t="s">
        <v>38</v>
      </c>
      <c r="I72" s="117" t="s">
        <v>16</v>
      </c>
      <c r="J72" s="162" t="s">
        <v>91</v>
      </c>
      <c r="K72" s="172">
        <f>'район для расчетов (не печатать'!K71+'Свод по посел.'!K70</f>
        <v>79734</v>
      </c>
      <c r="O72" s="214">
        <f>'район для расчетов (не печатать'!O71+'Свод по посел.'!L70</f>
        <v>16878</v>
      </c>
      <c r="P72" s="184">
        <f>'район для расчетов (не печатать'!P71+'Свод по посел.'!P70</f>
        <v>7379</v>
      </c>
      <c r="Q72" s="184">
        <f>'район для расчетов (не печатать'!Q71+'Свод по посел.'!Q70</f>
        <v>7232</v>
      </c>
      <c r="R72" s="184">
        <f>'район для расчетов (не печатать'!R71+'Свод по посел.'!R70</f>
        <v>2267</v>
      </c>
      <c r="S72" s="214">
        <f>'район для расчетов (не печатать'!S71+'Свод по посел.'!S70</f>
        <v>22832</v>
      </c>
      <c r="T72" s="184">
        <f>'район для расчетов (не печатать'!T71+'Свод по посел.'!T70</f>
        <v>5047</v>
      </c>
      <c r="U72" s="184">
        <f>'район для расчетов (не печатать'!U71+'Свод по посел.'!U70</f>
        <v>5047</v>
      </c>
      <c r="V72" s="184">
        <f>'район для расчетов (не печатать'!V71+'Свод по посел.'!V70</f>
        <v>12738</v>
      </c>
      <c r="W72" s="214">
        <f>'район для расчетов (не печатать'!W71+'Свод по посел.'!W70</f>
        <v>15369</v>
      </c>
      <c r="X72" s="184">
        <f>'район для расчетов (не печатать'!X71+'Свод по посел.'!X70</f>
        <v>5122</v>
      </c>
      <c r="Y72" s="184">
        <f>'район для расчетов (не печатать'!Y71+'Свод по посел.'!Y70</f>
        <v>5122</v>
      </c>
      <c r="Z72" s="184">
        <f>'район для расчетов (не печатать'!Z71+'Свод по посел.'!Z70</f>
        <v>5125</v>
      </c>
      <c r="AA72" s="214">
        <f>'район для расчетов (не печатать'!AA71+'Свод по посел.'!AA70</f>
        <v>24655</v>
      </c>
      <c r="AB72" s="184">
        <f>'район для расчетов (не печатать'!AB71+'Свод по посел.'!AB70</f>
        <v>8217</v>
      </c>
      <c r="AC72" s="184">
        <f>'район для расчетов (не печатать'!AC71+'Свод по посел.'!AC70</f>
        <v>8217</v>
      </c>
      <c r="AD72" s="184">
        <f>'район для расчетов (не печатать'!AD71+'Свод по посел.'!AD70</f>
        <v>8221</v>
      </c>
      <c r="AE72" s="179">
        <f t="shared" si="0"/>
        <v>79734</v>
      </c>
    </row>
    <row r="73" spans="1:31" ht="24.75" thickBot="1">
      <c r="A73" s="110" t="s">
        <v>164</v>
      </c>
      <c r="B73" s="135" t="s">
        <v>163</v>
      </c>
      <c r="C73" s="117" t="s">
        <v>196</v>
      </c>
      <c r="D73" s="117" t="s">
        <v>89</v>
      </c>
      <c r="E73" s="117" t="s">
        <v>23</v>
      </c>
      <c r="F73" s="117" t="s">
        <v>20</v>
      </c>
      <c r="G73" s="117" t="s">
        <v>197</v>
      </c>
      <c r="H73" s="117" t="s">
        <v>77</v>
      </c>
      <c r="I73" s="117" t="s">
        <v>16</v>
      </c>
      <c r="J73" s="162" t="s">
        <v>91</v>
      </c>
      <c r="K73" s="172">
        <f>'район для расчетов (не печатать'!K72+'Свод по посел.'!K71</f>
        <v>245</v>
      </c>
      <c r="O73" s="214">
        <f>'район для расчетов (не печатать'!O72+'Свод по посел.'!L71</f>
        <v>0</v>
      </c>
      <c r="P73" s="184">
        <f>'район для расчетов (не печатать'!P72+'Свод по посел.'!P71</f>
        <v>0</v>
      </c>
      <c r="Q73" s="184">
        <f>'район для расчетов (не печатать'!Q72+'Свод по посел.'!Q71</f>
        <v>0</v>
      </c>
      <c r="R73" s="184">
        <f>'район для расчетов (не печатать'!R72+'Свод по посел.'!R71</f>
        <v>0</v>
      </c>
      <c r="S73" s="214">
        <f>'район для расчетов (не печатать'!S72+'Свод по посел.'!S71</f>
        <v>0</v>
      </c>
      <c r="T73" s="184">
        <f>'район для расчетов (не печатать'!T72+'Свод по посел.'!T71</f>
        <v>0</v>
      </c>
      <c r="U73" s="184">
        <f>'район для расчетов (не печатать'!U72+'Свод по посел.'!U71</f>
        <v>0</v>
      </c>
      <c r="V73" s="184">
        <f>'район для расчетов (не печатать'!V72+'Свод по посел.'!V71</f>
        <v>0</v>
      </c>
      <c r="W73" s="214">
        <f>'район для расчетов (не печатать'!W72+'Свод по посел.'!W71</f>
        <v>184</v>
      </c>
      <c r="X73" s="184">
        <f>'район для расчетов (не печатать'!X72+'Свод по посел.'!X71</f>
        <v>61</v>
      </c>
      <c r="Y73" s="184">
        <f>'район для расчетов (не печатать'!Y72+'Свод по посел.'!Y71</f>
        <v>61</v>
      </c>
      <c r="Z73" s="184">
        <f>'район для расчетов (не печатать'!Z72+'Свод по посел.'!Z71</f>
        <v>62</v>
      </c>
      <c r="AA73" s="214">
        <f>'район для расчетов (не печатать'!AA72+'Свод по посел.'!AA71</f>
        <v>61</v>
      </c>
      <c r="AB73" s="184">
        <f>'район для расчетов (не печатать'!AB72+'Свод по посел.'!AB71</f>
        <v>20</v>
      </c>
      <c r="AC73" s="184">
        <f>'район для расчетов (не печатать'!AC72+'Свод по посел.'!AC71</f>
        <v>20</v>
      </c>
      <c r="AD73" s="184">
        <f>'район для расчетов (не печатать'!AD72+'Свод по посел.'!AD71</f>
        <v>21</v>
      </c>
      <c r="AE73" s="179">
        <f t="shared" si="0"/>
        <v>245</v>
      </c>
    </row>
    <row r="74" spans="1:31" ht="13.5" thickBot="1">
      <c r="A74" s="26" t="s">
        <v>36</v>
      </c>
      <c r="B74" s="17" t="s">
        <v>93</v>
      </c>
      <c r="C74" s="44" t="s">
        <v>14</v>
      </c>
      <c r="D74" s="44" t="s">
        <v>89</v>
      </c>
      <c r="E74" s="44" t="s">
        <v>23</v>
      </c>
      <c r="F74" s="44" t="s">
        <v>23</v>
      </c>
      <c r="G74" s="44" t="s">
        <v>14</v>
      </c>
      <c r="H74" s="44" t="s">
        <v>15</v>
      </c>
      <c r="I74" s="44" t="s">
        <v>16</v>
      </c>
      <c r="J74" s="149" t="s">
        <v>91</v>
      </c>
      <c r="K74" s="298">
        <f>K75+K76+K77+K78+K79+K80+K81+K82+K83+K84+K85+K86+K87+K88</f>
        <v>100241.40000000001</v>
      </c>
      <c r="L74" s="298">
        <f aca="true" t="shared" si="5" ref="L74:AA74">L75+L76+L77+L78+L79+L80+L81+L82+L83+L84+L85+L86+L87+L88</f>
        <v>0</v>
      </c>
      <c r="M74" s="298">
        <f t="shared" si="5"/>
        <v>0</v>
      </c>
      <c r="N74" s="298">
        <f t="shared" si="5"/>
        <v>0</v>
      </c>
      <c r="O74" s="298">
        <f t="shared" si="5"/>
        <v>27554</v>
      </c>
      <c r="P74" s="298">
        <f t="shared" si="5"/>
        <v>9083</v>
      </c>
      <c r="Q74" s="298">
        <f t="shared" si="5"/>
        <v>9083</v>
      </c>
      <c r="R74" s="298">
        <f t="shared" si="5"/>
        <v>9388</v>
      </c>
      <c r="S74" s="298">
        <f t="shared" si="5"/>
        <v>30092.1</v>
      </c>
      <c r="T74" s="298">
        <f t="shared" si="5"/>
        <v>9802</v>
      </c>
      <c r="U74" s="298">
        <f t="shared" si="5"/>
        <v>9804</v>
      </c>
      <c r="V74" s="298">
        <f t="shared" si="5"/>
        <v>10486.1</v>
      </c>
      <c r="W74" s="298">
        <f t="shared" si="5"/>
        <v>18591.3</v>
      </c>
      <c r="X74" s="298">
        <f t="shared" si="5"/>
        <v>6193</v>
      </c>
      <c r="Y74" s="298">
        <f t="shared" si="5"/>
        <v>6194</v>
      </c>
      <c r="Z74" s="298">
        <f t="shared" si="5"/>
        <v>6204.3</v>
      </c>
      <c r="AA74" s="298">
        <f t="shared" si="5"/>
        <v>24004</v>
      </c>
      <c r="AB74" s="184">
        <f>'район для расчетов (не печатать'!AB73+'Свод по посел.'!AB72</f>
        <v>7998</v>
      </c>
      <c r="AC74" s="184">
        <f>'район для расчетов (не печатать'!AC73+'Свод по посел.'!AC72</f>
        <v>7998</v>
      </c>
      <c r="AD74" s="184">
        <f>'район для расчетов (не печатать'!AD73+'Свод по посел.'!AD72</f>
        <v>8010</v>
      </c>
      <c r="AE74" s="179">
        <f t="shared" si="0"/>
        <v>100241.4</v>
      </c>
    </row>
    <row r="75" spans="1:31" ht="96.75" thickBot="1">
      <c r="A75" s="25" t="s">
        <v>39</v>
      </c>
      <c r="B75" s="92" t="s">
        <v>136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150" t="s">
        <v>91</v>
      </c>
      <c r="K75" s="172">
        <f>'район для расчетов (не печатать'!K74+'Свод по посел.'!K73</f>
        <v>73979</v>
      </c>
      <c r="O75" s="214">
        <f>'район для расчетов (не печатать'!O74+'Свод по посел.'!L73</f>
        <v>21943</v>
      </c>
      <c r="P75" s="184">
        <f>'район для расчетов (не печатать'!P74+'Свод по посел.'!P73</f>
        <v>7314</v>
      </c>
      <c r="Q75" s="184">
        <f>'район для расчетов (не печатать'!Q74+'Свод по посел.'!Q73</f>
        <v>7314</v>
      </c>
      <c r="R75" s="184">
        <f>'район для расчетов (не печатать'!R74+'Свод по посел.'!R73</f>
        <v>7315</v>
      </c>
      <c r="S75" s="214">
        <f>'район для расчетов (не печатать'!S74+'Свод по посел.'!S73</f>
        <v>24396</v>
      </c>
      <c r="T75" s="184">
        <f>'район для расчетов (не печатать'!T74+'Свод по посел.'!T73</f>
        <v>8132</v>
      </c>
      <c r="U75" s="184">
        <f>'район для расчетов (не печатать'!U74+'Свод по посел.'!U73</f>
        <v>8132</v>
      </c>
      <c r="V75" s="184">
        <f>'район для расчетов (не печатать'!V74+'Свод по посел.'!V73</f>
        <v>8132</v>
      </c>
      <c r="W75" s="214">
        <f>'район для расчетов (не печатать'!W74+'Свод по посел.'!W73</f>
        <v>10559</v>
      </c>
      <c r="X75" s="184">
        <f>'район для расчетов (не печатать'!X74+'Свод по посел.'!X73</f>
        <v>3519</v>
      </c>
      <c r="Y75" s="184">
        <f>'район для расчетов (не печатать'!Y74+'Свод по посел.'!Y73</f>
        <v>3519</v>
      </c>
      <c r="Z75" s="184">
        <f>'район для расчетов (не печатать'!Z74+'Свод по посел.'!Z73</f>
        <v>3521</v>
      </c>
      <c r="AA75" s="214">
        <f>'район для расчетов (не печатать'!AA74+'Свод по посел.'!AA73</f>
        <v>17081</v>
      </c>
      <c r="AB75" s="184">
        <f>'район для расчетов (не печатать'!AB74+'Свод по посел.'!AB73</f>
        <v>5693</v>
      </c>
      <c r="AC75" s="184">
        <f>'район для расчетов (не печатать'!AC74+'Свод по посел.'!AC73</f>
        <v>5693</v>
      </c>
      <c r="AD75" s="184">
        <f>'район для расчетов (не печатать'!AD74+'Свод по посел.'!AD73</f>
        <v>5695</v>
      </c>
      <c r="AE75" s="179">
        <f t="shared" si="0"/>
        <v>73979</v>
      </c>
    </row>
    <row r="76" spans="1:31" ht="24.75" thickBot="1">
      <c r="A76" s="25" t="s">
        <v>41</v>
      </c>
      <c r="B76" s="92" t="s">
        <v>137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150" t="s">
        <v>91</v>
      </c>
      <c r="K76" s="172">
        <f>'район для расчетов (не печатать'!K75+'Свод по посел.'!K74</f>
        <v>192</v>
      </c>
      <c r="O76" s="214">
        <f>'район для расчетов (не печатать'!O75+'Свод по посел.'!L74</f>
        <v>48</v>
      </c>
      <c r="P76" s="184">
        <f>'район для расчетов (не печатать'!P75+'Свод по посел.'!P74</f>
        <v>16</v>
      </c>
      <c r="Q76" s="184">
        <f>'район для расчетов (не печатать'!Q75+'Свод по посел.'!Q74</f>
        <v>16</v>
      </c>
      <c r="R76" s="184">
        <f>'район для расчетов (не печатать'!R75+'Свод по посел.'!R74</f>
        <v>16</v>
      </c>
      <c r="S76" s="214">
        <f>'район для расчетов (не печатать'!S75+'Свод по посел.'!S74</f>
        <v>48</v>
      </c>
      <c r="T76" s="184">
        <f>'район для расчетов (не печатать'!T75+'Свод по посел.'!T74</f>
        <v>16</v>
      </c>
      <c r="U76" s="184">
        <f>'район для расчетов (не печатать'!U75+'Свод по посел.'!U74</f>
        <v>16</v>
      </c>
      <c r="V76" s="184">
        <f>'район для расчетов (не печатать'!V75+'Свод по посел.'!V74</f>
        <v>16</v>
      </c>
      <c r="W76" s="214">
        <f>'район для расчетов (не печатать'!W75+'Свод по посел.'!W74</f>
        <v>48</v>
      </c>
      <c r="X76" s="184">
        <f>'район для расчетов (не печатать'!X75+'Свод по посел.'!X74</f>
        <v>16</v>
      </c>
      <c r="Y76" s="184">
        <f>'район для расчетов (не печатать'!Y75+'Свод по посел.'!Y74</f>
        <v>16</v>
      </c>
      <c r="Z76" s="184">
        <f>'район для расчетов (не печатать'!Z75+'Свод по посел.'!Z74</f>
        <v>16</v>
      </c>
      <c r="AA76" s="214">
        <f>'район для расчетов (не печатать'!AA75+'Свод по посел.'!AA74</f>
        <v>48</v>
      </c>
      <c r="AB76" s="184">
        <f>'район для расчетов (не печатать'!AB75+'Свод по посел.'!AB74</f>
        <v>16</v>
      </c>
      <c r="AC76" s="184">
        <f>'район для расчетов (не печатать'!AC75+'Свод по посел.'!AC74</f>
        <v>16</v>
      </c>
      <c r="AD76" s="184">
        <f>'район для расчетов (не печатать'!AD75+'Свод по посел.'!AD74</f>
        <v>16</v>
      </c>
      <c r="AE76" s="179">
        <f t="shared" si="0"/>
        <v>192</v>
      </c>
    </row>
    <row r="77" spans="1:31" ht="24.75" thickBot="1">
      <c r="A77" s="25" t="s">
        <v>94</v>
      </c>
      <c r="B77" s="92" t="s">
        <v>138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150" t="s">
        <v>91</v>
      </c>
      <c r="K77" s="172">
        <f>'район для расчетов (не печатать'!K76+'Свод по посел.'!K75</f>
        <v>3526</v>
      </c>
      <c r="O77" s="214">
        <f>'район для расчетов (не печатать'!O76+'Свод по посел.'!L75</f>
        <v>881</v>
      </c>
      <c r="P77" s="184">
        <f>'район для расчетов (не печатать'!P76+'Свод по посел.'!P75</f>
        <v>293</v>
      </c>
      <c r="Q77" s="184">
        <f>'район для расчетов (не печатать'!Q76+'Свод по посел.'!Q75</f>
        <v>293</v>
      </c>
      <c r="R77" s="184">
        <f>'район для расчетов (не печатать'!R76+'Свод по посел.'!R75</f>
        <v>295</v>
      </c>
      <c r="S77" s="214">
        <f>'район для расчетов (не печатать'!S76+'Свод по посел.'!S75</f>
        <v>882</v>
      </c>
      <c r="T77" s="184">
        <f>'район для расчетов (не печатать'!T76+'Свод по посел.'!T75</f>
        <v>294</v>
      </c>
      <c r="U77" s="184">
        <f>'район для расчетов (не печатать'!U76+'Свод по посел.'!U75</f>
        <v>295</v>
      </c>
      <c r="V77" s="184">
        <f>'район для расчетов (не печатать'!V76+'Свод по посел.'!V75</f>
        <v>293</v>
      </c>
      <c r="W77" s="214">
        <f>'район для расчетов (не печатать'!W76+'Свод по посел.'!W75</f>
        <v>882</v>
      </c>
      <c r="X77" s="184">
        <f>'район для расчетов (не печатать'!X76+'Свод по посел.'!X75</f>
        <v>294</v>
      </c>
      <c r="Y77" s="184">
        <f>'район для расчетов (не печатать'!Y76+'Свод по посел.'!Y75</f>
        <v>295</v>
      </c>
      <c r="Z77" s="184">
        <f>'район для расчетов (не печатать'!Z76+'Свод по посел.'!Z75</f>
        <v>293</v>
      </c>
      <c r="AA77" s="214">
        <f>'район для расчетов (не печатать'!AA76+'Свод по посел.'!AA75</f>
        <v>881</v>
      </c>
      <c r="AB77" s="184">
        <f>'район для расчетов (не печатать'!AB76+'Свод по посел.'!AB75</f>
        <v>295</v>
      </c>
      <c r="AC77" s="184">
        <f>'район для расчетов (не печатать'!AC76+'Свод по посел.'!AC75</f>
        <v>293</v>
      </c>
      <c r="AD77" s="184">
        <f>'район для расчетов (не печатать'!AD76+'Свод по посел.'!AD75</f>
        <v>293</v>
      </c>
      <c r="AE77" s="179">
        <f t="shared" si="0"/>
        <v>3526</v>
      </c>
    </row>
    <row r="78" spans="1:31" ht="24.75" thickBot="1">
      <c r="A78" s="25" t="s">
        <v>95</v>
      </c>
      <c r="B78" s="93" t="s">
        <v>139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150" t="s">
        <v>91</v>
      </c>
      <c r="K78" s="172">
        <f>'район для расчетов (не печатать'!K77+'Свод по посел.'!K76</f>
        <v>33</v>
      </c>
      <c r="O78" s="214">
        <f>'район для расчетов (не печатать'!O77+'Свод по посел.'!L76</f>
        <v>9</v>
      </c>
      <c r="P78" s="184">
        <f>'район для расчетов (не печатать'!P77+'Свод по посел.'!P76</f>
        <v>3</v>
      </c>
      <c r="Q78" s="184">
        <f>'район для расчетов (не печатать'!Q77+'Свод по посел.'!Q76</f>
        <v>3</v>
      </c>
      <c r="R78" s="184">
        <f>'район для расчетов (не печатать'!R77+'Свод по посел.'!R76</f>
        <v>3</v>
      </c>
      <c r="S78" s="214">
        <f>'район для расчетов (не печатать'!S77+'Свод по посел.'!S76</f>
        <v>8</v>
      </c>
      <c r="T78" s="184">
        <f>'район для расчетов (не печатать'!T77+'Свод по посел.'!T76</f>
        <v>2</v>
      </c>
      <c r="U78" s="184">
        <f>'район для расчетов (не печатать'!U77+'Свод по посел.'!U76</f>
        <v>3</v>
      </c>
      <c r="V78" s="184">
        <f>'район для расчетов (не печатать'!V77+'Свод по посел.'!V76</f>
        <v>3</v>
      </c>
      <c r="W78" s="214">
        <f>'район для расчетов (не печатать'!W77+'Свод по посел.'!W76</f>
        <v>8</v>
      </c>
      <c r="X78" s="184">
        <f>'район для расчетов (не печатать'!X77+'Свод по посел.'!X76</f>
        <v>2</v>
      </c>
      <c r="Y78" s="184">
        <f>'район для расчетов (не печатать'!Y77+'Свод по посел.'!Y76</f>
        <v>3</v>
      </c>
      <c r="Z78" s="184">
        <f>'район для расчетов (не печатать'!Z77+'Свод по посел.'!Z76</f>
        <v>3</v>
      </c>
      <c r="AA78" s="214">
        <f>'район для расчетов (не печатать'!AA77+'Свод по посел.'!AA76</f>
        <v>8</v>
      </c>
      <c r="AB78" s="184">
        <f>'район для расчетов (не печатать'!AB77+'Свод по посел.'!AB76</f>
        <v>2</v>
      </c>
      <c r="AC78" s="184">
        <f>'район для расчетов (не печатать'!AC77+'Свод по посел.'!AC76</f>
        <v>3</v>
      </c>
      <c r="AD78" s="184">
        <f>'район для расчетов (не печатать'!AD77+'Свод по посел.'!AD76</f>
        <v>3</v>
      </c>
      <c r="AE78" s="179">
        <f t="shared" si="0"/>
        <v>33</v>
      </c>
    </row>
    <row r="79" spans="1:31" ht="36.75" thickBot="1">
      <c r="A79" s="25" t="s">
        <v>109</v>
      </c>
      <c r="B79" s="93" t="s">
        <v>140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150" t="s">
        <v>91</v>
      </c>
      <c r="K79" s="172">
        <f>'район для расчетов (не печатать'!K78+'Свод по посел.'!K77</f>
        <v>2627</v>
      </c>
      <c r="O79" s="214">
        <f>'район для расчетов (не печатать'!O78+'Свод по посел.'!L77</f>
        <v>657</v>
      </c>
      <c r="P79" s="184">
        <f>'район для расчетов (не печатать'!P78+'Свод по посел.'!P77</f>
        <v>219</v>
      </c>
      <c r="Q79" s="184">
        <f>'район для расчетов (не печатать'!Q78+'Свод по посел.'!Q77</f>
        <v>219</v>
      </c>
      <c r="R79" s="184">
        <f>'район для расчетов (не печатать'!R78+'Свод по посел.'!R77</f>
        <v>219</v>
      </c>
      <c r="S79" s="214">
        <f>'район для расчетов (не печатать'!S78+'Свод по посел.'!S77</f>
        <v>657</v>
      </c>
      <c r="T79" s="184">
        <f>'район для расчетов (не печатать'!T78+'Свод по посел.'!T77</f>
        <v>219</v>
      </c>
      <c r="U79" s="184">
        <f>'район для расчетов (не печатать'!U78+'Свод по посел.'!U77</f>
        <v>219</v>
      </c>
      <c r="V79" s="184">
        <f>'район для расчетов (не печатать'!V78+'Свод по посел.'!V77</f>
        <v>219</v>
      </c>
      <c r="W79" s="214">
        <f>'район для расчетов (не печатать'!W78+'Свод по посел.'!W77</f>
        <v>657</v>
      </c>
      <c r="X79" s="184">
        <f>'район для расчетов (не печатать'!X78+'Свод по посел.'!X77</f>
        <v>219</v>
      </c>
      <c r="Y79" s="184">
        <f>'район для расчетов (не печатать'!Y78+'Свод по посел.'!Y77</f>
        <v>219</v>
      </c>
      <c r="Z79" s="184">
        <f>'район для расчетов (не печатать'!Z78+'Свод по посел.'!Z77</f>
        <v>219</v>
      </c>
      <c r="AA79" s="214">
        <f>'район для расчетов (не печатать'!AA78+'Свод по посел.'!AA77</f>
        <v>656</v>
      </c>
      <c r="AB79" s="184">
        <f>'район для расчетов (не печатать'!AB78+'Свод по посел.'!AB77</f>
        <v>219</v>
      </c>
      <c r="AC79" s="184">
        <f>'район для расчетов (не печатать'!AC78+'Свод по посел.'!AC77</f>
        <v>219</v>
      </c>
      <c r="AD79" s="184">
        <f>'район для расчетов (не печатать'!AD78+'Свод по посел.'!AD77</f>
        <v>218</v>
      </c>
      <c r="AE79" s="179">
        <f t="shared" si="0"/>
        <v>2627</v>
      </c>
    </row>
    <row r="80" spans="1:31" ht="48.75" thickBot="1">
      <c r="A80" s="25" t="s">
        <v>110</v>
      </c>
      <c r="B80" s="93" t="s">
        <v>141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150" t="s">
        <v>91</v>
      </c>
      <c r="K80" s="172">
        <f>'район для расчетов (не печатать'!K79+'Свод по посел.'!K78</f>
        <v>7607</v>
      </c>
      <c r="O80" s="214">
        <f>'район для расчетов (не печатать'!O79+'Свод по посел.'!L78</f>
        <v>1283</v>
      </c>
      <c r="P80" s="184">
        <f>'район для расчетов (не печатать'!P79+'Свод по посел.'!P78</f>
        <v>427</v>
      </c>
      <c r="Q80" s="184">
        <f>'район для расчетов (не печатать'!Q79+'Свод по посел.'!Q78</f>
        <v>427</v>
      </c>
      <c r="R80" s="184">
        <f>'район для расчетов (не печатать'!R79+'Свод по посел.'!R78</f>
        <v>429</v>
      </c>
      <c r="S80" s="214">
        <f>'район для расчетов (не печатать'!S79+'Свод по посел.'!S78</f>
        <v>1607</v>
      </c>
      <c r="T80" s="184">
        <f>'район для расчетов (не печатать'!T79+'Свод по посел.'!T78</f>
        <v>427</v>
      </c>
      <c r="U80" s="184">
        <f>'район для расчетов (не печатать'!U79+'Свод по посел.'!U78</f>
        <v>427</v>
      </c>
      <c r="V80" s="184">
        <f>'район для расчетов (не печатать'!V79+'Свод по посел.'!V78</f>
        <v>753</v>
      </c>
      <c r="W80" s="214">
        <f>'район для расчетов (не печатать'!W79+'Свод по посел.'!W78</f>
        <v>2331</v>
      </c>
      <c r="X80" s="184">
        <f>'район для расчетов (не печатать'!X79+'Свод по посел.'!X78</f>
        <v>777</v>
      </c>
      <c r="Y80" s="184">
        <f>'район для расчетов (не печатать'!Y79+'Свод по посел.'!Y78</f>
        <v>776</v>
      </c>
      <c r="Z80" s="184">
        <f>'район для расчетов (не печатать'!Z79+'Свод по посел.'!Z78</f>
        <v>778</v>
      </c>
      <c r="AA80" s="214">
        <f>'район для расчетов (не печатать'!AA79+'Свод по посел.'!AA78</f>
        <v>2386</v>
      </c>
      <c r="AB80" s="184">
        <f>'район для расчетов (не печатать'!AB79+'Свод по посел.'!AB78</f>
        <v>794</v>
      </c>
      <c r="AC80" s="184">
        <f>'район для расчетов (не печатать'!AC79+'Свод по посел.'!AC78</f>
        <v>795</v>
      </c>
      <c r="AD80" s="184">
        <f>'район для расчетов (не печатать'!AD79+'Свод по посел.'!AD78</f>
        <v>797</v>
      </c>
      <c r="AE80" s="179">
        <f t="shared" si="0"/>
        <v>7607</v>
      </c>
    </row>
    <row r="81" spans="1:31" ht="36.75" thickBot="1">
      <c r="A81" s="25" t="s">
        <v>202</v>
      </c>
      <c r="B81" s="93" t="s">
        <v>142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150" t="s">
        <v>91</v>
      </c>
      <c r="K81" s="172">
        <f>'район для расчетов (не печатать'!K80+'Свод по посел.'!K79</f>
        <v>5635</v>
      </c>
      <c r="O81" s="214">
        <f>'район для расчетов (не печатать'!O80+'Свод по посел.'!L79</f>
        <v>1625</v>
      </c>
      <c r="P81" s="184">
        <f>'район для расчетов (не печатать'!P80+'Свод по посел.'!P79</f>
        <v>442</v>
      </c>
      <c r="Q81" s="184">
        <f>'район для расчетов (не печатать'!Q80+'Свод по посел.'!Q79</f>
        <v>442</v>
      </c>
      <c r="R81" s="184">
        <f>'район для расчетов (не печатать'!R80+'Свод по посел.'!R79</f>
        <v>741</v>
      </c>
      <c r="S81" s="214">
        <f>'район для расчетов (не печатать'!S80+'Свод по посел.'!S79</f>
        <v>1159</v>
      </c>
      <c r="T81" s="184">
        <f>'район для расчетов (не печатать'!T80+'Свод по посел.'!T79</f>
        <v>343</v>
      </c>
      <c r="U81" s="184">
        <f>'район для расчетов (не печатать'!U80+'Свод по посел.'!U79</f>
        <v>343</v>
      </c>
      <c r="V81" s="184">
        <f>'район для расчетов (не печатать'!V80+'Свод по посел.'!V79</f>
        <v>473</v>
      </c>
      <c r="W81" s="214">
        <f>'район для расчетов (не печатать'!W80+'Свод по посел.'!W79</f>
        <v>1414</v>
      </c>
      <c r="X81" s="184">
        <f>'район для расчетов (не печатать'!X80+'Свод по посел.'!X79</f>
        <v>471</v>
      </c>
      <c r="Y81" s="184">
        <f>'район для расчетов (не печатать'!Y80+'Свод по посел.'!Y79</f>
        <v>471</v>
      </c>
      <c r="Z81" s="184">
        <f>'район для расчетов (не печатать'!Z80+'Свод по посел.'!Z79</f>
        <v>472</v>
      </c>
      <c r="AA81" s="214">
        <f>'район для расчетов (не печатать'!AA80+'Свод по посел.'!AA79</f>
        <v>1437</v>
      </c>
      <c r="AB81" s="184">
        <f>'район для расчетов (не печатать'!AB80+'Свод по посел.'!AB79</f>
        <v>478</v>
      </c>
      <c r="AC81" s="184">
        <f>'район для расчетов (не печатать'!AC80+'Свод по посел.'!AC79</f>
        <v>478</v>
      </c>
      <c r="AD81" s="184">
        <f>'район для расчетов (не печатать'!AD80+'Свод по посел.'!AD79</f>
        <v>481</v>
      </c>
      <c r="AE81" s="179">
        <f t="shared" si="0"/>
        <v>5635</v>
      </c>
    </row>
    <row r="82" spans="1:31" ht="36.75" thickBot="1">
      <c r="A82" s="25" t="s">
        <v>203</v>
      </c>
      <c r="B82" s="93" t="s">
        <v>143</v>
      </c>
      <c r="C82" s="46"/>
      <c r="D82" s="46"/>
      <c r="E82" s="46"/>
      <c r="F82" s="46"/>
      <c r="G82" s="46"/>
      <c r="H82" s="46"/>
      <c r="I82" s="46"/>
      <c r="J82" s="150"/>
      <c r="K82" s="172">
        <f>'район для расчетов (не печатать'!K81+'Свод по посел.'!K80</f>
        <v>4862</v>
      </c>
      <c r="O82" s="214">
        <f>'район для расчетов (не печатать'!O81+'Свод по посел.'!L80</f>
        <v>1075</v>
      </c>
      <c r="P82" s="184">
        <f>'район для расчетов (не печатать'!P81+'Свод по посел.'!P80</f>
        <v>358</v>
      </c>
      <c r="Q82" s="184">
        <f>'район для расчетов (не печатать'!Q81+'Свод по посел.'!Q80</f>
        <v>358</v>
      </c>
      <c r="R82" s="184">
        <f>'район для расчетов (не печатать'!R81+'Свод по посел.'!R80</f>
        <v>359</v>
      </c>
      <c r="S82" s="214">
        <f>'район для расчетов (не печатать'!S81+'Свод по посел.'!S80</f>
        <v>1074</v>
      </c>
      <c r="T82" s="184">
        <f>'район для расчетов (не печатать'!T81+'Свод по посел.'!T80</f>
        <v>358</v>
      </c>
      <c r="U82" s="184">
        <f>'район для расчетов (не печатать'!U81+'Свод по посел.'!U80</f>
        <v>358</v>
      </c>
      <c r="V82" s="184">
        <f>'район для расчетов (не печатать'!V81+'Свод по посел.'!V80</f>
        <v>358</v>
      </c>
      <c r="W82" s="214">
        <f>'район для расчетов (не печатать'!W81+'Свод по посел.'!W80</f>
        <v>1357</v>
      </c>
      <c r="X82" s="184">
        <f>'район для расчетов (не печатать'!X81+'Свод по посел.'!X80</f>
        <v>452</v>
      </c>
      <c r="Y82" s="184">
        <f>'район для расчетов (не печатать'!Y81+'Свод по посел.'!Y80</f>
        <v>452</v>
      </c>
      <c r="Z82" s="184">
        <f>'район для расчетов (не печатать'!Z81+'Свод по посел.'!Z80</f>
        <v>453</v>
      </c>
      <c r="AA82" s="214">
        <f>'район для расчетов (не печатать'!AA81+'Свод по посел.'!AA80</f>
        <v>1356</v>
      </c>
      <c r="AB82" s="184">
        <f>'район для расчетов (не печатать'!AB81+'Свод по посел.'!AB80</f>
        <v>452</v>
      </c>
      <c r="AC82" s="184">
        <f>'район для расчетов (не печатать'!AC81+'Свод по посел.'!AC80</f>
        <v>452</v>
      </c>
      <c r="AD82" s="184">
        <f>'район для расчетов (не печатать'!AD81+'Свод по посел.'!AD80</f>
        <v>454</v>
      </c>
      <c r="AE82" s="179">
        <f t="shared" si="0"/>
        <v>4862</v>
      </c>
    </row>
    <row r="83" spans="1:31" ht="24">
      <c r="A83" s="25" t="s">
        <v>204</v>
      </c>
      <c r="B83" s="93" t="s">
        <v>144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150" t="s">
        <v>91</v>
      </c>
      <c r="K83" s="172">
        <f>'район для расчетов (не печатать'!K82+'Свод по посел.'!K81</f>
        <v>135</v>
      </c>
      <c r="O83" s="214">
        <f>'район для расчетов (не печатать'!O82+'Свод по посел.'!L81</f>
        <v>33</v>
      </c>
      <c r="P83" s="184">
        <f>'район для расчетов (не печатать'!P82+'Свод по посел.'!P81</f>
        <v>11</v>
      </c>
      <c r="Q83" s="184">
        <f>'район для расчетов (не печатать'!Q82+'Свод по посел.'!Q81</f>
        <v>11</v>
      </c>
      <c r="R83" s="184">
        <f>'район для расчетов (не печатать'!R82+'Свод по посел.'!R81</f>
        <v>11</v>
      </c>
      <c r="S83" s="214">
        <f>'район для расчетов (не печатать'!S82+'Свод по посел.'!S81</f>
        <v>34</v>
      </c>
      <c r="T83" s="184">
        <f>'район для расчетов (не печатать'!T82+'Свод по посел.'!T81</f>
        <v>11</v>
      </c>
      <c r="U83" s="184">
        <f>'район для расчетов (не печатать'!U82+'Свод по посел.'!U81</f>
        <v>11</v>
      </c>
      <c r="V83" s="184">
        <f>'район для расчетов (не печатать'!V82+'Свод по посел.'!V81</f>
        <v>12</v>
      </c>
      <c r="W83" s="214">
        <f>'район для расчетов (не печатать'!W82+'Свод по посел.'!W81</f>
        <v>34</v>
      </c>
      <c r="X83" s="184">
        <f>'район для расчетов (не печатать'!X82+'Свод по посел.'!X81</f>
        <v>11</v>
      </c>
      <c r="Y83" s="184">
        <f>'район для расчетов (не печатать'!Y82+'Свод по посел.'!Y81</f>
        <v>11</v>
      </c>
      <c r="Z83" s="184">
        <f>'район для расчетов (не печатать'!Z82+'Свод по посел.'!Z81</f>
        <v>12</v>
      </c>
      <c r="AA83" s="214">
        <f>'район для расчетов (не печатать'!AA82+'Свод по посел.'!AA81</f>
        <v>34</v>
      </c>
      <c r="AB83" s="184">
        <f>'район для расчетов (не печатать'!AB82+'Свод по посел.'!AB81</f>
        <v>11</v>
      </c>
      <c r="AC83" s="184">
        <f>'район для расчетов (не печатать'!AC82+'Свод по посел.'!AC81</f>
        <v>11</v>
      </c>
      <c r="AD83" s="184">
        <f>'район для расчетов (не печатать'!AD82+'Свод по посел.'!AD81</f>
        <v>12</v>
      </c>
      <c r="AE83" s="179">
        <f t="shared" si="0"/>
        <v>135</v>
      </c>
    </row>
    <row r="84" spans="1:31" ht="24">
      <c r="A84" s="25"/>
      <c r="B84" s="93" t="s">
        <v>215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108">
        <f>227.1+227.2</f>
        <v>454.29999999999995</v>
      </c>
      <c r="O84" s="214"/>
      <c r="P84" s="184"/>
      <c r="Q84" s="184"/>
      <c r="R84" s="184"/>
      <c r="S84" s="214">
        <v>227.1</v>
      </c>
      <c r="T84" s="184"/>
      <c r="U84" s="184"/>
      <c r="V84" s="184">
        <v>227.1</v>
      </c>
      <c r="W84" s="214">
        <f>227.2</f>
        <v>227.2</v>
      </c>
      <c r="X84" s="184">
        <v>76</v>
      </c>
      <c r="Y84" s="184">
        <v>76</v>
      </c>
      <c r="Z84" s="184">
        <v>75.2</v>
      </c>
      <c r="AA84" s="237"/>
      <c r="AB84" s="184"/>
      <c r="AC84" s="184"/>
      <c r="AD84" s="184"/>
      <c r="AE84" s="179">
        <f t="shared" si="0"/>
        <v>454.29999999999995</v>
      </c>
    </row>
    <row r="85" spans="1:31" ht="48">
      <c r="A85" s="25"/>
      <c r="B85" s="93" t="s">
        <v>220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108">
        <v>342</v>
      </c>
      <c r="O85" s="237"/>
      <c r="P85" s="207"/>
      <c r="Q85" s="207"/>
      <c r="R85" s="207"/>
      <c r="S85" s="237"/>
      <c r="T85" s="207"/>
      <c r="U85" s="207"/>
      <c r="V85" s="207"/>
      <c r="W85" s="237">
        <v>257</v>
      </c>
      <c r="X85" s="207">
        <v>85</v>
      </c>
      <c r="Y85" s="207">
        <v>85</v>
      </c>
      <c r="Z85" s="207">
        <v>87</v>
      </c>
      <c r="AA85" s="237">
        <v>85</v>
      </c>
      <c r="AB85" s="207">
        <v>28</v>
      </c>
      <c r="AC85" s="207">
        <v>28</v>
      </c>
      <c r="AD85" s="207">
        <v>29</v>
      </c>
      <c r="AE85" s="179">
        <f t="shared" si="0"/>
        <v>342</v>
      </c>
    </row>
    <row r="86" spans="1:31" ht="24">
      <c r="A86" s="25"/>
      <c r="B86" s="93" t="s">
        <v>221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108">
        <v>130</v>
      </c>
      <c r="O86" s="237"/>
      <c r="P86" s="207"/>
      <c r="Q86" s="207"/>
      <c r="R86" s="207"/>
      <c r="S86" s="237"/>
      <c r="T86" s="207"/>
      <c r="U86" s="207"/>
      <c r="V86" s="207"/>
      <c r="W86" s="237">
        <v>98</v>
      </c>
      <c r="X86" s="207">
        <v>32</v>
      </c>
      <c r="Y86" s="207">
        <v>32</v>
      </c>
      <c r="Z86" s="207">
        <v>34</v>
      </c>
      <c r="AA86" s="237">
        <v>32</v>
      </c>
      <c r="AB86" s="207">
        <v>10</v>
      </c>
      <c r="AC86" s="207">
        <v>10</v>
      </c>
      <c r="AD86" s="207">
        <v>12</v>
      </c>
      <c r="AE86" s="179">
        <f t="shared" si="0"/>
        <v>130</v>
      </c>
    </row>
    <row r="87" spans="1:31" ht="36">
      <c r="A87" s="25"/>
      <c r="B87" s="93" t="s">
        <v>222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165</v>
      </c>
      <c r="H87" s="46" t="s">
        <v>38</v>
      </c>
      <c r="I87" s="46" t="s">
        <v>16</v>
      </c>
      <c r="J87" s="46" t="s">
        <v>91</v>
      </c>
      <c r="K87" s="108">
        <v>352</v>
      </c>
      <c r="O87" s="237"/>
      <c r="P87" s="207"/>
      <c r="Q87" s="207"/>
      <c r="R87" s="207"/>
      <c r="S87" s="237"/>
      <c r="T87" s="207"/>
      <c r="U87" s="207"/>
      <c r="V87" s="207"/>
      <c r="W87" s="237">
        <v>352</v>
      </c>
      <c r="X87" s="207">
        <v>117</v>
      </c>
      <c r="Y87" s="207">
        <v>117</v>
      </c>
      <c r="Z87" s="207">
        <v>118</v>
      </c>
      <c r="AA87" s="237"/>
      <c r="AB87" s="207"/>
      <c r="AC87" s="207"/>
      <c r="AD87" s="207"/>
      <c r="AE87" s="179">
        <f t="shared" si="0"/>
        <v>352</v>
      </c>
    </row>
    <row r="88" spans="1:31" s="278" customFormat="1" ht="24">
      <c r="A88" s="275"/>
      <c r="B88" s="276" t="s">
        <v>223</v>
      </c>
      <c r="C88" s="277" t="s">
        <v>226</v>
      </c>
      <c r="D88" s="277" t="s">
        <v>89</v>
      </c>
      <c r="E88" s="277" t="s">
        <v>23</v>
      </c>
      <c r="F88" s="277" t="s">
        <v>23</v>
      </c>
      <c r="G88" s="277" t="s">
        <v>165</v>
      </c>
      <c r="H88" s="277" t="s">
        <v>38</v>
      </c>
      <c r="I88" s="277" t="s">
        <v>16</v>
      </c>
      <c r="J88" s="277" t="s">
        <v>91</v>
      </c>
      <c r="K88" s="309">
        <v>367.1</v>
      </c>
      <c r="O88" s="279"/>
      <c r="P88" s="279"/>
      <c r="Q88" s="279"/>
      <c r="R88" s="279"/>
      <c r="S88" s="279"/>
      <c r="T88" s="279"/>
      <c r="U88" s="279"/>
      <c r="V88" s="279"/>
      <c r="W88" s="279">
        <v>367.1</v>
      </c>
      <c r="X88" s="279">
        <v>122</v>
      </c>
      <c r="Y88" s="279">
        <v>122</v>
      </c>
      <c r="Z88" s="279">
        <v>123.1</v>
      </c>
      <c r="AA88" s="279"/>
      <c r="AB88" s="279"/>
      <c r="AC88" s="279"/>
      <c r="AD88" s="279"/>
      <c r="AE88" s="310">
        <f aca="true" t="shared" si="6" ref="AE88:AE113">O88+S88+W88+AA88</f>
        <v>367.1</v>
      </c>
    </row>
    <row r="89" spans="1:31" s="278" customFormat="1" ht="24">
      <c r="A89" s="281"/>
      <c r="B89" s="282" t="s">
        <v>228</v>
      </c>
      <c r="C89" s="283" t="s">
        <v>14</v>
      </c>
      <c r="D89" s="283" t="s">
        <v>89</v>
      </c>
      <c r="E89" s="283" t="s">
        <v>23</v>
      </c>
      <c r="F89" s="283" t="s">
        <v>77</v>
      </c>
      <c r="G89" s="283" t="s">
        <v>229</v>
      </c>
      <c r="H89" s="283" t="s">
        <v>38</v>
      </c>
      <c r="I89" s="283" t="s">
        <v>16</v>
      </c>
      <c r="J89" s="311" t="s">
        <v>91</v>
      </c>
      <c r="K89" s="314">
        <v>1000</v>
      </c>
      <c r="O89" s="232"/>
      <c r="P89" s="285"/>
      <c r="Q89" s="285"/>
      <c r="R89" s="285"/>
      <c r="S89" s="232"/>
      <c r="T89" s="285"/>
      <c r="U89" s="285"/>
      <c r="V89" s="285"/>
      <c r="W89" s="232">
        <v>1000</v>
      </c>
      <c r="X89" s="285">
        <v>333</v>
      </c>
      <c r="Y89" s="285">
        <v>333</v>
      </c>
      <c r="Z89" s="285">
        <v>334</v>
      </c>
      <c r="AA89" s="232"/>
      <c r="AB89" s="279"/>
      <c r="AC89" s="279"/>
      <c r="AD89" s="286"/>
      <c r="AE89" s="179">
        <f t="shared" si="6"/>
        <v>1000</v>
      </c>
    </row>
    <row r="90" spans="1:32" s="119" customFormat="1" ht="24">
      <c r="A90" s="287"/>
      <c r="B90" s="288" t="s">
        <v>227</v>
      </c>
      <c r="C90" s="289" t="s">
        <v>14</v>
      </c>
      <c r="D90" s="289" t="s">
        <v>89</v>
      </c>
      <c r="E90" s="289" t="s">
        <v>23</v>
      </c>
      <c r="F90" s="289" t="s">
        <v>23</v>
      </c>
      <c r="G90" s="289" t="s">
        <v>232</v>
      </c>
      <c r="H90" s="289" t="s">
        <v>38</v>
      </c>
      <c r="I90" s="289" t="s">
        <v>16</v>
      </c>
      <c r="J90" s="312" t="s">
        <v>91</v>
      </c>
      <c r="K90" s="315">
        <f>1002+999+551+845</f>
        <v>3397</v>
      </c>
      <c r="O90" s="291">
        <v>1002</v>
      </c>
      <c r="P90" s="292">
        <v>1002</v>
      </c>
      <c r="Q90" s="292"/>
      <c r="R90" s="292"/>
      <c r="S90" s="291">
        <f>999+551</f>
        <v>1550</v>
      </c>
      <c r="T90" s="292">
        <v>333</v>
      </c>
      <c r="U90" s="292">
        <v>333</v>
      </c>
      <c r="V90" s="292">
        <f>333+551</f>
        <v>884</v>
      </c>
      <c r="W90" s="291">
        <v>845</v>
      </c>
      <c r="X90" s="292"/>
      <c r="Y90" s="292"/>
      <c r="Z90" s="292">
        <v>845</v>
      </c>
      <c r="AA90" s="291"/>
      <c r="AB90" s="186"/>
      <c r="AC90" s="186"/>
      <c r="AD90" s="186"/>
      <c r="AE90" s="293"/>
      <c r="AF90">
        <f>AA90+W90+S90+O90</f>
        <v>3397</v>
      </c>
    </row>
    <row r="91" spans="1:32" s="119" customFormat="1" ht="24.75" thickBot="1">
      <c r="A91" s="287"/>
      <c r="B91" s="288" t="s">
        <v>233</v>
      </c>
      <c r="C91" s="289" t="s">
        <v>14</v>
      </c>
      <c r="D91" s="289" t="s">
        <v>89</v>
      </c>
      <c r="E91" s="289" t="s">
        <v>23</v>
      </c>
      <c r="F91" s="289" t="s">
        <v>23</v>
      </c>
      <c r="G91" s="289" t="s">
        <v>234</v>
      </c>
      <c r="H91" s="289" t="s">
        <v>38</v>
      </c>
      <c r="I91" s="289" t="s">
        <v>16</v>
      </c>
      <c r="J91" s="312" t="s">
        <v>91</v>
      </c>
      <c r="K91" s="315">
        <v>1105</v>
      </c>
      <c r="O91" s="291"/>
      <c r="P91" s="292"/>
      <c r="Q91" s="292"/>
      <c r="R91" s="292"/>
      <c r="S91" s="291"/>
      <c r="T91" s="292"/>
      <c r="U91" s="292"/>
      <c r="V91" s="292"/>
      <c r="W91" s="291">
        <v>552.5</v>
      </c>
      <c r="X91" s="292"/>
      <c r="Y91" s="292">
        <v>184</v>
      </c>
      <c r="Z91" s="292">
        <v>368.5</v>
      </c>
      <c r="AA91" s="291">
        <v>552.5</v>
      </c>
      <c r="AB91" s="307">
        <v>184</v>
      </c>
      <c r="AC91" s="307">
        <v>184</v>
      </c>
      <c r="AD91" s="307">
        <v>184.5</v>
      </c>
      <c r="AE91" s="293"/>
      <c r="AF91"/>
    </row>
    <row r="92" spans="1:31" ht="13.5" thickBot="1">
      <c r="A92" s="109" t="s">
        <v>205</v>
      </c>
      <c r="B92" s="105" t="s">
        <v>131</v>
      </c>
      <c r="C92" s="46" t="s">
        <v>14</v>
      </c>
      <c r="D92" s="46" t="s">
        <v>89</v>
      </c>
      <c r="E92" s="46" t="s">
        <v>23</v>
      </c>
      <c r="F92" s="46" t="s">
        <v>77</v>
      </c>
      <c r="G92" s="46" t="s">
        <v>199</v>
      </c>
      <c r="H92" s="46" t="s">
        <v>38</v>
      </c>
      <c r="I92" s="46" t="s">
        <v>16</v>
      </c>
      <c r="J92" s="150" t="s">
        <v>91</v>
      </c>
      <c r="K92" s="316">
        <f>K93+K100+K101+K102+K103</f>
        <v>32419</v>
      </c>
      <c r="L92" s="313">
        <f aca="true" t="shared" si="7" ref="L92:AA92">L93+L100+L101+L102+L103</f>
        <v>0</v>
      </c>
      <c r="M92" s="298">
        <f t="shared" si="7"/>
        <v>0</v>
      </c>
      <c r="N92" s="298">
        <f t="shared" si="7"/>
        <v>0</v>
      </c>
      <c r="O92" s="298">
        <f t="shared" si="7"/>
        <v>9185</v>
      </c>
      <c r="P92" s="298">
        <f t="shared" si="7"/>
        <v>3059.5</v>
      </c>
      <c r="Q92" s="298">
        <f t="shared" si="7"/>
        <v>3059</v>
      </c>
      <c r="R92" s="298">
        <f t="shared" si="7"/>
        <v>3066.5</v>
      </c>
      <c r="S92" s="298">
        <f t="shared" si="7"/>
        <v>6515</v>
      </c>
      <c r="T92" s="298">
        <f t="shared" si="7"/>
        <v>2168.5</v>
      </c>
      <c r="U92" s="298">
        <f t="shared" si="7"/>
        <v>2167</v>
      </c>
      <c r="V92" s="298">
        <f t="shared" si="7"/>
        <v>2179.5</v>
      </c>
      <c r="W92" s="298">
        <f t="shared" si="7"/>
        <v>8653</v>
      </c>
      <c r="X92" s="298">
        <f t="shared" si="7"/>
        <v>2880</v>
      </c>
      <c r="Y92" s="298">
        <f t="shared" si="7"/>
        <v>2880.5</v>
      </c>
      <c r="Z92" s="298">
        <f t="shared" si="7"/>
        <v>2892.5</v>
      </c>
      <c r="AA92" s="298">
        <f t="shared" si="7"/>
        <v>8066</v>
      </c>
      <c r="AB92" s="172">
        <f>AB93+AB100+AB101+AB102+AB103</f>
        <v>2683.5</v>
      </c>
      <c r="AC92" s="172">
        <f>AC93+AC100+AC101+AC102+AC103</f>
        <v>2683.5</v>
      </c>
      <c r="AD92" s="172">
        <f>AD93+AD100+AD101+AD102+AD103</f>
        <v>2937.2</v>
      </c>
      <c r="AE92" s="179">
        <f t="shared" si="6"/>
        <v>32419</v>
      </c>
    </row>
    <row r="93" spans="1:31" ht="48.75" thickBot="1">
      <c r="A93" s="26" t="s">
        <v>206</v>
      </c>
      <c r="B93" s="105" t="s">
        <v>209</v>
      </c>
      <c r="C93" s="69" t="s">
        <v>14</v>
      </c>
      <c r="D93" s="69" t="s">
        <v>89</v>
      </c>
      <c r="E93" s="69" t="s">
        <v>23</v>
      </c>
      <c r="F93" s="69" t="s">
        <v>77</v>
      </c>
      <c r="G93" s="69" t="s">
        <v>199</v>
      </c>
      <c r="H93" s="69" t="s">
        <v>38</v>
      </c>
      <c r="I93" s="69" t="s">
        <v>16</v>
      </c>
      <c r="J93" s="164" t="s">
        <v>91</v>
      </c>
      <c r="K93" s="267">
        <f>K94+K95+K96+K97+K98+K99</f>
        <v>27641</v>
      </c>
      <c r="L93" s="172">
        <f aca="true" t="shared" si="8" ref="L93:AA93">L94+L95+L96+L97+L98+L99</f>
        <v>0</v>
      </c>
      <c r="M93" s="172">
        <f t="shared" si="8"/>
        <v>0</v>
      </c>
      <c r="N93" s="172">
        <f t="shared" si="8"/>
        <v>0</v>
      </c>
      <c r="O93" s="172">
        <f t="shared" si="8"/>
        <v>8839</v>
      </c>
      <c r="P93" s="172">
        <f t="shared" si="8"/>
        <v>2945</v>
      </c>
      <c r="Q93" s="172">
        <f t="shared" si="8"/>
        <v>2945</v>
      </c>
      <c r="R93" s="172">
        <f t="shared" si="8"/>
        <v>2949</v>
      </c>
      <c r="S93" s="172">
        <f t="shared" si="8"/>
        <v>5619</v>
      </c>
      <c r="T93" s="172">
        <f t="shared" si="8"/>
        <v>1871</v>
      </c>
      <c r="U93" s="172">
        <f t="shared" si="8"/>
        <v>1871</v>
      </c>
      <c r="V93" s="172">
        <f t="shared" si="8"/>
        <v>1877</v>
      </c>
      <c r="W93" s="172">
        <f t="shared" si="8"/>
        <v>7925</v>
      </c>
      <c r="X93" s="172">
        <f t="shared" si="8"/>
        <v>2641</v>
      </c>
      <c r="Y93" s="172">
        <f t="shared" si="8"/>
        <v>2641</v>
      </c>
      <c r="Z93" s="172">
        <f t="shared" si="8"/>
        <v>2643</v>
      </c>
      <c r="AA93" s="172">
        <f t="shared" si="8"/>
        <v>5258</v>
      </c>
      <c r="AB93" s="184">
        <f>'район для расчетов (не печатать'!AB91+'Свод по посел.'!AB83</f>
        <v>1751</v>
      </c>
      <c r="AC93" s="184">
        <f>'район для расчетов (не печатать'!AC91+'Свод по посел.'!AC83</f>
        <v>1751</v>
      </c>
      <c r="AD93" s="184">
        <f>'район для расчетов (не печатать'!AD91+'Свод по посел.'!AD83</f>
        <v>1994</v>
      </c>
      <c r="AE93" s="179">
        <f t="shared" si="6"/>
        <v>27641</v>
      </c>
    </row>
    <row r="94" spans="1:31" ht="13.5" thickBot="1">
      <c r="A94" s="26"/>
      <c r="B94" s="135" t="s">
        <v>214</v>
      </c>
      <c r="C94" s="69" t="s">
        <v>198</v>
      </c>
      <c r="D94" s="69" t="s">
        <v>89</v>
      </c>
      <c r="E94" s="69" t="s">
        <v>23</v>
      </c>
      <c r="F94" s="69" t="s">
        <v>77</v>
      </c>
      <c r="G94" s="69" t="s">
        <v>199</v>
      </c>
      <c r="H94" s="69" t="s">
        <v>38</v>
      </c>
      <c r="I94" s="69" t="s">
        <v>16</v>
      </c>
      <c r="J94" s="69" t="s">
        <v>91</v>
      </c>
      <c r="K94" s="172">
        <f>'район для расчетов (не печатать'!K92+'Свод по посел.'!K84</f>
        <v>120</v>
      </c>
      <c r="L94" s="172">
        <f>'район для расчетов (не печатать'!L92+'Свод по посел.'!L84</f>
        <v>0</v>
      </c>
      <c r="M94" s="172">
        <f>'район для расчетов (не печатать'!M92+'Свод по посел.'!M84</f>
        <v>0</v>
      </c>
      <c r="N94" s="172">
        <f>'район для расчетов (не печатать'!N92+'Свод по посел.'!N84</f>
        <v>0</v>
      </c>
      <c r="O94" s="172">
        <f>'район для расчетов (не печатать'!O92+'Свод по посел.'!O84</f>
        <v>0</v>
      </c>
      <c r="P94" s="172">
        <f>'район для расчетов (не печатать'!P92+'Свод по посел.'!P84</f>
        <v>0</v>
      </c>
      <c r="Q94" s="172">
        <f>'район для расчетов (не печатать'!Q92+'Свод по посел.'!Q84</f>
        <v>0</v>
      </c>
      <c r="R94" s="172">
        <f>'район для расчетов (не печатать'!R92+'Свод по посел.'!R84</f>
        <v>0</v>
      </c>
      <c r="S94" s="172">
        <f>'район для расчетов (не печатать'!S92+'Свод по посел.'!S84</f>
        <v>0</v>
      </c>
      <c r="T94" s="172">
        <f>'район для расчетов (не печатать'!T92+'Свод по посел.'!T84</f>
        <v>0</v>
      </c>
      <c r="U94" s="172">
        <f>'район для расчетов (не печатать'!U92+'Свод по посел.'!U84</f>
        <v>0</v>
      </c>
      <c r="V94" s="172">
        <f>'район для расчетов (не печатать'!V92+'Свод по посел.'!V84</f>
        <v>0</v>
      </c>
      <c r="W94" s="172">
        <f>'район для расчетов (не печатать'!W92+'Свод по посел.'!W84</f>
        <v>120</v>
      </c>
      <c r="X94" s="172">
        <f>'район для расчетов (не печатать'!X92+'Свод по посел.'!X84</f>
        <v>40</v>
      </c>
      <c r="Y94" s="172">
        <f>'район для расчетов (не печатать'!Y92+'Свод по посел.'!Y84</f>
        <v>40</v>
      </c>
      <c r="Z94" s="172">
        <f>'район для расчетов (не печатать'!Z92+'Свод по посел.'!Z84</f>
        <v>40</v>
      </c>
      <c r="AA94" s="172">
        <f>'район для расчетов (не печатать'!AA92+'Свод по посел.'!AA84</f>
        <v>0</v>
      </c>
      <c r="AB94" s="172">
        <f>'район для расчетов (не печатать'!AB92+'Свод по посел.'!AB84</f>
        <v>0</v>
      </c>
      <c r="AC94" s="172">
        <f>'район для расчетов (не печатать'!AC92+'Свод по посел.'!AC84</f>
        <v>0</v>
      </c>
      <c r="AD94" s="172">
        <f>'район для расчетов (не печатать'!AD92+'Свод по посел.'!AD84</f>
        <v>0</v>
      </c>
      <c r="AE94" s="179">
        <f t="shared" si="6"/>
        <v>120</v>
      </c>
    </row>
    <row r="95" spans="1:31" ht="13.5" thickBot="1">
      <c r="A95" s="26"/>
      <c r="B95" s="77" t="s">
        <v>134</v>
      </c>
      <c r="C95" s="70" t="s">
        <v>198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165" t="s">
        <v>91</v>
      </c>
      <c r="K95" s="172">
        <f>'район для расчетов (не печатать'!K93+'Свод по посел.'!K85</f>
        <v>50</v>
      </c>
      <c r="O95" s="214">
        <f>'район для расчетов (не печатать'!O93+'Свод по посел.'!L85</f>
        <v>0</v>
      </c>
      <c r="P95" s="184">
        <f>'район для расчетов (не печатать'!P93+'Свод по посел.'!P85</f>
        <v>0</v>
      </c>
      <c r="Q95" s="184">
        <f>'район для расчетов (не печатать'!Q93+'Свод по посел.'!Q85</f>
        <v>0</v>
      </c>
      <c r="R95" s="184">
        <f>'район для расчетов (не печатать'!R93+'Свод по посел.'!R85</f>
        <v>0</v>
      </c>
      <c r="S95" s="214">
        <f>'район для расчетов (не печатать'!S93+'Свод по посел.'!S85</f>
        <v>50</v>
      </c>
      <c r="T95" s="184">
        <f>'район для расчетов (не печатать'!T93+'Свод по посел.'!T85</f>
        <v>16</v>
      </c>
      <c r="U95" s="184">
        <f>'район для расчетов (не печатать'!U93+'Свод по посел.'!U85</f>
        <v>16</v>
      </c>
      <c r="V95" s="184">
        <f>'район для расчетов (не печатать'!V93+'Свод по посел.'!V85</f>
        <v>18</v>
      </c>
      <c r="W95" s="214">
        <f>'район для расчетов (не печатать'!W93+'Свод по посел.'!W85</f>
        <v>0</v>
      </c>
      <c r="X95" s="184">
        <f>'район для расчетов (не печатать'!X93+'Свод по посел.'!X85</f>
        <v>0</v>
      </c>
      <c r="Y95" s="184">
        <f>'район для расчетов (не печатать'!Y93+'Свод по посел.'!Y85</f>
        <v>0</v>
      </c>
      <c r="Z95" s="184">
        <f>'район для расчетов (не печатать'!Z93+'Свод по посел.'!Z85</f>
        <v>0</v>
      </c>
      <c r="AA95" s="214">
        <f>'район для расчетов (не печатать'!AA93+'Свод по посел.'!AA85</f>
        <v>0</v>
      </c>
      <c r="AB95" s="184">
        <f>'район для расчетов (не печатать'!AB93+'Свод по посел.'!AB85</f>
        <v>0</v>
      </c>
      <c r="AC95" s="184">
        <f>'район для расчетов (не печатать'!AC93+'Свод по посел.'!AC85</f>
        <v>0</v>
      </c>
      <c r="AD95" s="184">
        <f>'район для расчетов (не печатать'!AD93+'Свод по посел.'!AD85</f>
        <v>0</v>
      </c>
      <c r="AE95" s="179">
        <f t="shared" si="6"/>
        <v>50</v>
      </c>
    </row>
    <row r="96" spans="1:31" ht="13.5" thickBot="1">
      <c r="A96" s="26"/>
      <c r="B96" s="77" t="s">
        <v>133</v>
      </c>
      <c r="C96" s="70" t="s">
        <v>200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165" t="s">
        <v>91</v>
      </c>
      <c r="K96" s="172">
        <f>'район для расчетов (не печатать'!K94+'Свод по посел.'!K86</f>
        <v>80</v>
      </c>
      <c r="O96" s="214">
        <f>'район для расчетов (не печатать'!O94+'Свод по посел.'!L86</f>
        <v>0</v>
      </c>
      <c r="P96" s="184">
        <f>'район для расчетов (не печатать'!P94+'Свод по посел.'!P86</f>
        <v>0</v>
      </c>
      <c r="Q96" s="184">
        <f>'район для расчетов (не печатать'!Q94+'Свод по посел.'!Q86</f>
        <v>0</v>
      </c>
      <c r="R96" s="184">
        <f>'район для расчетов (не печатать'!R94+'Свод по посел.'!R86</f>
        <v>0</v>
      </c>
      <c r="S96" s="214">
        <f>'район для расчетов (не печатать'!S94+'Свод по посел.'!S86</f>
        <v>20</v>
      </c>
      <c r="T96" s="184">
        <f>'район для расчетов (не печатать'!T94+'Свод по посел.'!T86</f>
        <v>6</v>
      </c>
      <c r="U96" s="184">
        <f>'район для расчетов (не печатать'!U94+'Свод по посел.'!U86</f>
        <v>6</v>
      </c>
      <c r="V96" s="184">
        <f>'район для расчетов (не печатать'!V94+'Свод по посел.'!V86</f>
        <v>8</v>
      </c>
      <c r="W96" s="214">
        <f>'район для расчетов (не печатать'!W94+'Свод по посел.'!W86</f>
        <v>40</v>
      </c>
      <c r="X96" s="184">
        <f>'район для расчетов (не печатать'!X94+'Свод по посел.'!X86</f>
        <v>13</v>
      </c>
      <c r="Y96" s="184">
        <f>'район для расчетов (не печатать'!Y94+'Свод по посел.'!Y86</f>
        <v>13</v>
      </c>
      <c r="Z96" s="184">
        <f>'район для расчетов (не печатать'!Z94+'Свод по посел.'!Z86</f>
        <v>14</v>
      </c>
      <c r="AA96" s="214">
        <f>'район для расчетов (не печатать'!AA94+'Свод по посел.'!AA86</f>
        <v>20</v>
      </c>
      <c r="AB96" s="184">
        <f>'район для расчетов (не печатать'!AB94+'Свод по посел.'!AB86</f>
        <v>6</v>
      </c>
      <c r="AC96" s="184">
        <f>'район для расчетов (не печатать'!AC94+'Свод по посел.'!AC86</f>
        <v>6</v>
      </c>
      <c r="AD96" s="184">
        <f>'район для расчетов (не печатать'!AD94+'Свод по посел.'!AD86</f>
        <v>8</v>
      </c>
      <c r="AE96" s="179">
        <f t="shared" si="6"/>
        <v>80</v>
      </c>
    </row>
    <row r="97" spans="1:31" ht="13.5" thickBot="1">
      <c r="A97" s="26"/>
      <c r="B97" s="77" t="s">
        <v>132</v>
      </c>
      <c r="C97" s="70" t="s">
        <v>200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165" t="s">
        <v>91</v>
      </c>
      <c r="K97" s="172">
        <f>'район для расчетов (не печатать'!K95+'Свод по посел.'!K87</f>
        <v>3391</v>
      </c>
      <c r="O97" s="214">
        <f>'район для расчетов (не печатать'!O95+'Свод по посел.'!L87</f>
        <v>1025</v>
      </c>
      <c r="P97" s="184">
        <f>'район для расчетов (не печатать'!P95+'Свод по посел.'!P87</f>
        <v>341</v>
      </c>
      <c r="Q97" s="184">
        <f>'район для расчетов (не печатать'!Q95+'Свод по посел.'!Q87</f>
        <v>341</v>
      </c>
      <c r="R97" s="184">
        <f>'район для расчетов (не печатать'!R95+'Свод по посел.'!R87</f>
        <v>343</v>
      </c>
      <c r="S97" s="214">
        <f>'район для расчетов (не печатать'!S95+'Свод по посел.'!S87</f>
        <v>789</v>
      </c>
      <c r="T97" s="184">
        <f>'район для расчетов (не печатать'!T95+'Свод по посел.'!T87</f>
        <v>263</v>
      </c>
      <c r="U97" s="184">
        <f>'район для расчетов (не печатать'!U95+'Свод по посел.'!U87</f>
        <v>263</v>
      </c>
      <c r="V97" s="184">
        <f>'район для расчетов (не печатать'!V95+'Свод по посел.'!V87</f>
        <v>263</v>
      </c>
      <c r="W97" s="214">
        <f>'район для расчетов (не печатать'!W95+'Свод по посел.'!W87</f>
        <v>553</v>
      </c>
      <c r="X97" s="184">
        <f>'район для расчетов (не печатать'!X95+'Свод по посел.'!X87</f>
        <v>184</v>
      </c>
      <c r="Y97" s="184">
        <f>'район для расчетов (не печатать'!Y95+'Свод по посел.'!Y87</f>
        <v>184</v>
      </c>
      <c r="Z97" s="184">
        <f>'район для расчетов (не печатать'!Z95+'Свод по посел.'!Z87</f>
        <v>185</v>
      </c>
      <c r="AA97" s="214">
        <f>'район для расчетов (не печатать'!AA95+'Свод по посел.'!AA87</f>
        <v>1024</v>
      </c>
      <c r="AB97" s="184">
        <f>'район для расчетов (не печатать'!AB95+'Свод по посел.'!AB87</f>
        <v>341</v>
      </c>
      <c r="AC97" s="184">
        <f>'район для расчетов (не печатать'!AC95+'Свод по посел.'!AC87</f>
        <v>341</v>
      </c>
      <c r="AD97" s="184">
        <f>'район для расчетов (не печатать'!AD95+'Свод по посел.'!AD87</f>
        <v>342</v>
      </c>
      <c r="AE97" s="179">
        <f t="shared" si="6"/>
        <v>3391</v>
      </c>
    </row>
    <row r="98" spans="1:31" ht="13.5" thickBot="1">
      <c r="A98" s="26"/>
      <c r="B98" s="77" t="s">
        <v>96</v>
      </c>
      <c r="C98" s="70" t="s">
        <v>201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165" t="s">
        <v>91</v>
      </c>
      <c r="K98" s="172">
        <f>'район для расчетов (не печатать'!K96+'Свод по посел.'!K88</f>
        <v>24000</v>
      </c>
      <c r="O98" s="214">
        <f>'район для расчетов (не печатать'!O96+'Свод по посел.'!L88</f>
        <v>7814</v>
      </c>
      <c r="P98" s="184">
        <f>'район для расчетов (не печатать'!P96+'Свод по посел.'!P88</f>
        <v>2604</v>
      </c>
      <c r="Q98" s="184">
        <f>'район для расчетов (не печатать'!Q96+'Свод по посел.'!Q88</f>
        <v>2604</v>
      </c>
      <c r="R98" s="184">
        <f>'район для расчетов (не печатать'!R96+'Свод по посел.'!R88</f>
        <v>2606</v>
      </c>
      <c r="S98" s="214">
        <f>'район для расчетов (не печатать'!S96+'Свод по посел.'!S88</f>
        <v>4760</v>
      </c>
      <c r="T98" s="184">
        <f>'район для расчетов (не печатать'!T96+'Свод по посел.'!T88</f>
        <v>1586</v>
      </c>
      <c r="U98" s="184">
        <f>'район для расчетов (не печатать'!U96+'Свод по посел.'!U88</f>
        <v>1586</v>
      </c>
      <c r="V98" s="184">
        <f>'район для расчетов (не печатать'!V96+'Свод по посел.'!V88</f>
        <v>1588</v>
      </c>
      <c r="W98" s="214">
        <f>'район для расчетов (не печатать'!W96+'Свод по посел.'!W88</f>
        <v>7212</v>
      </c>
      <c r="X98" s="184">
        <f>'район для расчетов (не печатать'!X96+'Свод по посел.'!X88</f>
        <v>2404</v>
      </c>
      <c r="Y98" s="184">
        <f>'район для расчетов (не печатать'!Y96+'Свод по посел.'!Y88</f>
        <v>2404</v>
      </c>
      <c r="Z98" s="184">
        <f>'район для расчетов (не печатать'!Z96+'Свод по посел.'!Z88</f>
        <v>2404</v>
      </c>
      <c r="AA98" s="214">
        <f>'район для расчетов (не печатать'!AA96+'Свод по посел.'!AA88</f>
        <v>4214</v>
      </c>
      <c r="AB98" s="184">
        <f>'район для расчетов (не печатать'!AB96+'Свод по посел.'!AB88</f>
        <v>1404</v>
      </c>
      <c r="AC98" s="184">
        <f>'район для расчетов (не печатать'!AC96+'Свод по посел.'!AC88</f>
        <v>1404</v>
      </c>
      <c r="AD98" s="184">
        <f>'район для расчетов (не печатать'!AD96+'Свод по посел.'!AD88</f>
        <v>1644</v>
      </c>
      <c r="AE98" s="179">
        <f t="shared" si="6"/>
        <v>24000</v>
      </c>
    </row>
    <row r="99" spans="1:31" ht="13.5" thickBot="1">
      <c r="A99" s="97"/>
      <c r="B99" s="98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166</v>
      </c>
      <c r="H99" s="70" t="s">
        <v>42</v>
      </c>
      <c r="I99" s="70" t="s">
        <v>16</v>
      </c>
      <c r="J99" s="165" t="s">
        <v>91</v>
      </c>
      <c r="K99" s="172">
        <f>'район для расчетов (не печатать'!K97+'Свод по посел.'!K89</f>
        <v>0</v>
      </c>
      <c r="O99" s="214">
        <f>'район для расчетов (не печатать'!O97+'Свод по посел.'!L89</f>
        <v>0</v>
      </c>
      <c r="P99" s="184">
        <f>'район для расчетов (не печатать'!P97+'Свод по посел.'!P89</f>
        <v>0</v>
      </c>
      <c r="Q99" s="184">
        <f>'район для расчетов (не печатать'!Q97+'Свод по посел.'!Q89</f>
        <v>0</v>
      </c>
      <c r="R99" s="184">
        <f>'район для расчетов (не печатать'!R97+'Свод по посел.'!R89</f>
        <v>0</v>
      </c>
      <c r="S99" s="214">
        <f>'район для расчетов (не печатать'!S97+'Свод по посел.'!S89</f>
        <v>0</v>
      </c>
      <c r="T99" s="184">
        <f>'район для расчетов (не печатать'!T97+'Свод по посел.'!T89</f>
        <v>0</v>
      </c>
      <c r="U99" s="184">
        <f>'район для расчетов (не печатать'!U97+'Свод по посел.'!U89</f>
        <v>0</v>
      </c>
      <c r="V99" s="184">
        <f>'район для расчетов (не печатать'!V97+'Свод по посел.'!V89</f>
        <v>0</v>
      </c>
      <c r="W99" s="214">
        <f>'район для расчетов (не печатать'!W97+'Свод по посел.'!W89</f>
        <v>0</v>
      </c>
      <c r="X99" s="184">
        <f>'район для расчетов (не печатать'!X97+'Свод по посел.'!X89</f>
        <v>0</v>
      </c>
      <c r="Y99" s="184">
        <f>'район для расчетов (не печатать'!Y97+'Свод по посел.'!Y89</f>
        <v>0</v>
      </c>
      <c r="Z99" s="184">
        <f>'район для расчетов (не печатать'!Z97+'Свод по посел.'!Z89</f>
        <v>0</v>
      </c>
      <c r="AA99" s="214">
        <f>'район для расчетов (не печатать'!AA97+'Свод по посел.'!AA89</f>
        <v>0</v>
      </c>
      <c r="AB99" s="184">
        <f>'район для расчетов (не печатать'!AB97+'Свод по посел.'!AB89</f>
        <v>0</v>
      </c>
      <c r="AC99" s="184">
        <f>'район для расчетов (не печатать'!AC97+'Свод по посел.'!AC89</f>
        <v>0</v>
      </c>
      <c r="AD99" s="184">
        <f>'район для расчетов (не печатать'!AD97+'Свод по посел.'!AD89</f>
        <v>0</v>
      </c>
      <c r="AE99" s="179">
        <f t="shared" si="6"/>
        <v>0</v>
      </c>
    </row>
    <row r="100" spans="1:31" ht="62.25" customHeight="1" thickBot="1">
      <c r="A100" s="27" t="s">
        <v>207</v>
      </c>
      <c r="B100" s="296" t="s">
        <v>130</v>
      </c>
      <c r="C100" s="71" t="s">
        <v>196</v>
      </c>
      <c r="D100" s="71" t="s">
        <v>89</v>
      </c>
      <c r="E100" s="71" t="s">
        <v>23</v>
      </c>
      <c r="F100" s="71" t="s">
        <v>77</v>
      </c>
      <c r="G100" s="71" t="s">
        <v>199</v>
      </c>
      <c r="H100" s="71" t="s">
        <v>38</v>
      </c>
      <c r="I100" s="71" t="s">
        <v>16</v>
      </c>
      <c r="J100" s="166" t="s">
        <v>91</v>
      </c>
      <c r="K100" s="172">
        <f>'район для расчетов (не печатать'!K98+'Свод по посел.'!K90</f>
        <v>1386</v>
      </c>
      <c r="O100" s="214">
        <f>'район для расчетов (не печатать'!O98+'Свод по посел.'!L90</f>
        <v>346</v>
      </c>
      <c r="P100" s="184">
        <f>'район для расчетов (не печатать'!P98+'Свод по посел.'!P90</f>
        <v>114.5</v>
      </c>
      <c r="Q100" s="184">
        <f>'район для расчетов (не печатать'!Q98+'Свод по посел.'!Q90</f>
        <v>114</v>
      </c>
      <c r="R100" s="184">
        <f>'район для расчетов (не печатать'!R98+'Свод по посел.'!R90</f>
        <v>117.5</v>
      </c>
      <c r="S100" s="214">
        <f>'район для расчетов (не печатать'!S98+'Свод по посел.'!S90</f>
        <v>346</v>
      </c>
      <c r="T100" s="184">
        <f>'район для расчетов (не печатать'!T98+'Свод по посел.'!T90</f>
        <v>114.5</v>
      </c>
      <c r="U100" s="184">
        <f>'район для расчетов (не печатать'!U98+'Свод по посел.'!U90</f>
        <v>113</v>
      </c>
      <c r="V100" s="184">
        <f>'район для расчетов (не печатать'!V98+'Свод по посел.'!V90</f>
        <v>118.5</v>
      </c>
      <c r="W100" s="214">
        <f>'район для расчетов (не печатать'!W98+'Свод по посел.'!W90</f>
        <v>348</v>
      </c>
      <c r="X100" s="184">
        <f>'район для расчетов (не печатать'!X98+'Свод по посел.'!X90</f>
        <v>113</v>
      </c>
      <c r="Y100" s="184">
        <f>'район для расчетов (не печатать'!Y98+'Свод по посел.'!Y90</f>
        <v>113.5</v>
      </c>
      <c r="Z100" s="184">
        <f>'район для расчетов (не печатать'!Z98+'Свод по посел.'!Z90</f>
        <v>121.5</v>
      </c>
      <c r="AA100" s="214">
        <f>'район для расчетов (не печатать'!AA98+'Свод по посел.'!AA90</f>
        <v>346</v>
      </c>
      <c r="AB100" s="184">
        <f>'район для расчетов (не печатать'!AB98+'Свод по посел.'!AB90</f>
        <v>113.5</v>
      </c>
      <c r="AC100" s="184">
        <f>'район для расчетов (не печатать'!AC98+'Свод по посел.'!AC90</f>
        <v>113.5</v>
      </c>
      <c r="AD100" s="184">
        <f>'район для расчетов (не печатать'!AD98+'Свод по посел.'!AD90</f>
        <v>119</v>
      </c>
      <c r="AE100" s="179">
        <f t="shared" si="6"/>
        <v>1386</v>
      </c>
    </row>
    <row r="101" spans="1:31" ht="24">
      <c r="A101" s="32" t="s">
        <v>208</v>
      </c>
      <c r="B101" s="297" t="s">
        <v>150</v>
      </c>
      <c r="C101" s="260" t="s">
        <v>14</v>
      </c>
      <c r="D101" s="260" t="s">
        <v>89</v>
      </c>
      <c r="E101" s="260" t="s">
        <v>23</v>
      </c>
      <c r="F101" s="260" t="s">
        <v>77</v>
      </c>
      <c r="G101" s="260" t="s">
        <v>199</v>
      </c>
      <c r="H101" s="260" t="s">
        <v>38</v>
      </c>
      <c r="I101" s="260" t="s">
        <v>16</v>
      </c>
      <c r="J101" s="261" t="s">
        <v>91</v>
      </c>
      <c r="K101" s="262">
        <f>'район для расчетов (не печатать'!K99+'Свод по посел.'!K91</f>
        <v>1831</v>
      </c>
      <c r="O101" s="263">
        <f>'район для расчетов (не печатать'!O99+'Свод по посел.'!L91</f>
        <v>0</v>
      </c>
      <c r="P101" s="264">
        <f>'район для расчетов (не печатать'!P99+'Свод по посел.'!P91</f>
        <v>0</v>
      </c>
      <c r="Q101" s="264">
        <f>'район для расчетов (не печатать'!Q99+'Свод по посел.'!Q91</f>
        <v>0</v>
      </c>
      <c r="R101" s="264">
        <f>'район для расчетов (не печатать'!R99+'Свод по посел.'!R91</f>
        <v>0</v>
      </c>
      <c r="S101" s="263">
        <f>'район для расчетов (не печатать'!S99+'Свод по посел.'!S91</f>
        <v>0</v>
      </c>
      <c r="T101" s="264">
        <f>'район для расчетов (не печатать'!T99+'Свод по посел.'!T91</f>
        <v>0</v>
      </c>
      <c r="U101" s="264">
        <f>'район для расчетов (не печатать'!U99+'Свод по посел.'!U91</f>
        <v>0</v>
      </c>
      <c r="V101" s="264">
        <f>'район для расчетов (не печатать'!V99+'Свод по посел.'!V91</f>
        <v>0</v>
      </c>
      <c r="W101" s="263">
        <f>'район для расчетов (не печатать'!W99+'Свод по посел.'!W91</f>
        <v>0</v>
      </c>
      <c r="X101" s="264">
        <f>'район для расчетов (не печатать'!X99+'Свод по посел.'!X91</f>
        <v>0</v>
      </c>
      <c r="Y101" s="264">
        <f>'район для расчетов (не печатать'!Y99+'Свод по посел.'!Y91</f>
        <v>0</v>
      </c>
      <c r="Z101" s="264">
        <f>'район для расчетов (не печатать'!Z99+'Свод по посел.'!Z91</f>
        <v>0</v>
      </c>
      <c r="AA101" s="263">
        <v>1831</v>
      </c>
      <c r="AB101" s="264">
        <f>'район для расчетов (не печатать'!AB99+'Свод по посел.'!AB91</f>
        <v>610</v>
      </c>
      <c r="AC101" s="264">
        <f>'район для расчетов (не печатать'!AC99+'Свод по посел.'!AC91</f>
        <v>610</v>
      </c>
      <c r="AD101" s="264">
        <f>'район для расчетов (не печатать'!AD99+'Свод по посел.'!AD91</f>
        <v>611.2</v>
      </c>
      <c r="AE101" s="179">
        <f t="shared" si="6"/>
        <v>1831</v>
      </c>
    </row>
    <row r="102" spans="1:31" ht="36">
      <c r="A102" s="253"/>
      <c r="B102" s="288" t="s">
        <v>224</v>
      </c>
      <c r="C102" s="231" t="s">
        <v>196</v>
      </c>
      <c r="D102" s="231" t="s">
        <v>89</v>
      </c>
      <c r="E102" s="231" t="s">
        <v>23</v>
      </c>
      <c r="F102" s="231" t="s">
        <v>77</v>
      </c>
      <c r="G102" s="231" t="s">
        <v>199</v>
      </c>
      <c r="H102" s="231" t="s">
        <v>38</v>
      </c>
      <c r="I102" s="231" t="s">
        <v>16</v>
      </c>
      <c r="J102" s="231" t="s">
        <v>91</v>
      </c>
      <c r="K102" s="255">
        <v>1392</v>
      </c>
      <c r="O102" s="232"/>
      <c r="P102" s="181"/>
      <c r="Q102" s="181"/>
      <c r="R102" s="181"/>
      <c r="S102" s="232">
        <v>493</v>
      </c>
      <c r="T102" s="181">
        <v>164</v>
      </c>
      <c r="U102" s="181">
        <v>164</v>
      </c>
      <c r="V102" s="181">
        <v>165</v>
      </c>
      <c r="W102" s="232">
        <v>342</v>
      </c>
      <c r="X102" s="181">
        <v>114</v>
      </c>
      <c r="Y102" s="181">
        <v>114</v>
      </c>
      <c r="Z102" s="181">
        <v>114</v>
      </c>
      <c r="AA102" s="232">
        <v>557</v>
      </c>
      <c r="AB102" s="184">
        <v>185</v>
      </c>
      <c r="AC102" s="184">
        <v>185</v>
      </c>
      <c r="AD102" s="184">
        <v>187</v>
      </c>
      <c r="AE102" s="179">
        <f t="shared" si="6"/>
        <v>1392</v>
      </c>
    </row>
    <row r="103" spans="1:31" ht="36">
      <c r="A103" s="253"/>
      <c r="B103" s="288" t="s">
        <v>225</v>
      </c>
      <c r="C103" s="231" t="s">
        <v>196</v>
      </c>
      <c r="D103" s="231" t="s">
        <v>89</v>
      </c>
      <c r="E103" s="231" t="s">
        <v>23</v>
      </c>
      <c r="F103" s="231" t="s">
        <v>77</v>
      </c>
      <c r="G103" s="231" t="s">
        <v>199</v>
      </c>
      <c r="H103" s="231" t="s">
        <v>38</v>
      </c>
      <c r="I103" s="231" t="s">
        <v>16</v>
      </c>
      <c r="J103" s="231" t="s">
        <v>91</v>
      </c>
      <c r="K103" s="255">
        <v>169</v>
      </c>
      <c r="O103" s="232"/>
      <c r="P103" s="181"/>
      <c r="Q103" s="181"/>
      <c r="R103" s="181"/>
      <c r="S103" s="232">
        <v>57</v>
      </c>
      <c r="T103" s="181">
        <v>19</v>
      </c>
      <c r="U103" s="181">
        <v>19</v>
      </c>
      <c r="V103" s="181">
        <v>19</v>
      </c>
      <c r="W103" s="232">
        <v>38</v>
      </c>
      <c r="X103" s="181">
        <v>12</v>
      </c>
      <c r="Y103" s="181">
        <v>12</v>
      </c>
      <c r="Z103" s="181">
        <v>14</v>
      </c>
      <c r="AA103" s="232">
        <v>74</v>
      </c>
      <c r="AB103" s="184">
        <v>24</v>
      </c>
      <c r="AC103" s="184">
        <v>24</v>
      </c>
      <c r="AD103" s="184">
        <v>26</v>
      </c>
      <c r="AE103" s="179">
        <f t="shared" si="6"/>
        <v>169</v>
      </c>
    </row>
    <row r="104" spans="1:31" ht="12.75">
      <c r="A104" s="236"/>
      <c r="B104" s="269" t="s">
        <v>194</v>
      </c>
      <c r="C104" s="231" t="s">
        <v>14</v>
      </c>
      <c r="D104" s="231" t="s">
        <v>89</v>
      </c>
      <c r="E104" s="231" t="s">
        <v>23</v>
      </c>
      <c r="F104" s="231" t="s">
        <v>77</v>
      </c>
      <c r="G104" s="231" t="s">
        <v>195</v>
      </c>
      <c r="H104" s="231" t="s">
        <v>38</v>
      </c>
      <c r="I104" s="231" t="s">
        <v>16</v>
      </c>
      <c r="J104" s="231" t="s">
        <v>91</v>
      </c>
      <c r="K104" s="233">
        <f>15000-3500-1000</f>
        <v>10500</v>
      </c>
      <c r="O104" s="232">
        <v>3050</v>
      </c>
      <c r="P104" s="181">
        <v>1166</v>
      </c>
      <c r="Q104" s="181">
        <v>1166</v>
      </c>
      <c r="R104" s="181">
        <v>718</v>
      </c>
      <c r="S104" s="232">
        <f>4000-550-400</f>
        <v>3050</v>
      </c>
      <c r="T104" s="181">
        <f>1333-183-133</f>
        <v>1017</v>
      </c>
      <c r="U104" s="181">
        <f>1333-183-133</f>
        <v>1017</v>
      </c>
      <c r="V104" s="181">
        <v>1016</v>
      </c>
      <c r="W104" s="232">
        <f>5500-100-1000</f>
        <v>4400</v>
      </c>
      <c r="X104" s="181">
        <f>1833-33-333</f>
        <v>1467</v>
      </c>
      <c r="Y104" s="181">
        <f>1833-33-333</f>
        <v>1467</v>
      </c>
      <c r="Z104" s="181">
        <f>1800-334</f>
        <v>1466</v>
      </c>
      <c r="AA104" s="232">
        <f>2000+1000-3000</f>
        <v>0</v>
      </c>
      <c r="AB104" s="184">
        <f>666-666</f>
        <v>0</v>
      </c>
      <c r="AC104" s="184">
        <f>666-666</f>
        <v>0</v>
      </c>
      <c r="AD104" s="184">
        <f>668-668</f>
        <v>0</v>
      </c>
      <c r="AE104" s="179">
        <f t="shared" si="6"/>
        <v>10500</v>
      </c>
    </row>
    <row r="105" spans="1:31" ht="12.75">
      <c r="A105" s="253"/>
      <c r="B105" s="254"/>
      <c r="C105" s="231"/>
      <c r="D105" s="231"/>
      <c r="E105" s="231"/>
      <c r="F105" s="231"/>
      <c r="G105" s="231"/>
      <c r="H105" s="231"/>
      <c r="I105" s="231"/>
      <c r="J105" s="231"/>
      <c r="K105" s="255"/>
      <c r="O105" s="232"/>
      <c r="P105" s="181"/>
      <c r="Q105" s="181"/>
      <c r="R105" s="181"/>
      <c r="S105" s="232"/>
      <c r="T105" s="181"/>
      <c r="U105" s="181"/>
      <c r="V105" s="181"/>
      <c r="W105" s="232"/>
      <c r="X105" s="181"/>
      <c r="Y105" s="181"/>
      <c r="Z105" s="181"/>
      <c r="AA105" s="232"/>
      <c r="AB105" s="184"/>
      <c r="AC105" s="184"/>
      <c r="AD105" s="184"/>
      <c r="AE105" s="179">
        <f t="shared" si="6"/>
        <v>0</v>
      </c>
    </row>
    <row r="106" spans="1:31" ht="12.75">
      <c r="A106" s="253"/>
      <c r="B106" s="254"/>
      <c r="C106" s="231"/>
      <c r="D106" s="231"/>
      <c r="E106" s="231"/>
      <c r="F106" s="231"/>
      <c r="G106" s="231"/>
      <c r="H106" s="231"/>
      <c r="I106" s="231"/>
      <c r="J106" s="231"/>
      <c r="K106" s="255"/>
      <c r="O106" s="232"/>
      <c r="P106" s="181"/>
      <c r="Q106" s="181"/>
      <c r="R106" s="181"/>
      <c r="S106" s="232"/>
      <c r="T106" s="181"/>
      <c r="U106" s="181"/>
      <c r="V106" s="181"/>
      <c r="W106" s="232"/>
      <c r="X106" s="181"/>
      <c r="Y106" s="181"/>
      <c r="Z106" s="181"/>
      <c r="AA106" s="232"/>
      <c r="AB106" s="184"/>
      <c r="AC106" s="184"/>
      <c r="AD106" s="184"/>
      <c r="AE106" s="179">
        <f t="shared" si="6"/>
        <v>0</v>
      </c>
    </row>
    <row r="107" spans="1:31" ht="13.5" thickBot="1">
      <c r="A107" s="253"/>
      <c r="B107" s="254"/>
      <c r="C107" s="231"/>
      <c r="D107" s="231"/>
      <c r="E107" s="231"/>
      <c r="F107" s="231"/>
      <c r="G107" s="231"/>
      <c r="H107" s="231"/>
      <c r="I107" s="231"/>
      <c r="J107" s="231"/>
      <c r="K107" s="255"/>
      <c r="O107" s="232"/>
      <c r="P107" s="181"/>
      <c r="Q107" s="181"/>
      <c r="R107" s="181"/>
      <c r="S107" s="232"/>
      <c r="T107" s="181"/>
      <c r="U107" s="181"/>
      <c r="V107" s="181"/>
      <c r="W107" s="232"/>
      <c r="X107" s="181"/>
      <c r="Y107" s="181"/>
      <c r="Z107" s="181"/>
      <c r="AA107" s="232"/>
      <c r="AB107" s="184"/>
      <c r="AC107" s="184"/>
      <c r="AD107" s="184"/>
      <c r="AE107" s="179">
        <f t="shared" si="6"/>
        <v>0</v>
      </c>
    </row>
    <row r="108" spans="1:32" ht="26.25" thickBot="1">
      <c r="A108" s="30" t="s">
        <v>98</v>
      </c>
      <c r="B108" s="136" t="s">
        <v>167</v>
      </c>
      <c r="C108" s="265" t="s">
        <v>14</v>
      </c>
      <c r="D108" s="265" t="s">
        <v>99</v>
      </c>
      <c r="E108" s="265" t="s">
        <v>15</v>
      </c>
      <c r="F108" s="265" t="s">
        <v>15</v>
      </c>
      <c r="G108" s="265" t="s">
        <v>14</v>
      </c>
      <c r="H108" s="265" t="s">
        <v>15</v>
      </c>
      <c r="I108" s="265" t="s">
        <v>16</v>
      </c>
      <c r="J108" s="266" t="s">
        <v>14</v>
      </c>
      <c r="K108" s="267">
        <f>K110+K112</f>
        <v>19480.3</v>
      </c>
      <c r="O108" s="258">
        <f>'район для расчетов (не печатать'!O107+'Свод по посел.'!L92</f>
        <v>2721</v>
      </c>
      <c r="P108" s="230">
        <f>'район для расчетов (не печатать'!P107+'Свод по посел.'!P92</f>
        <v>904.5</v>
      </c>
      <c r="Q108" s="230">
        <f>'район для расчетов (не печатать'!Q107+'Свод по посел.'!Q92</f>
        <v>905.5</v>
      </c>
      <c r="R108" s="230">
        <f>'район для расчетов (не печатать'!R107+'Свод по посел.'!R92</f>
        <v>911</v>
      </c>
      <c r="S108" s="258">
        <f>'район для расчетов (не печатать'!S107+'Свод по посел.'!S92</f>
        <v>3035.1</v>
      </c>
      <c r="T108" s="230">
        <f>'район для расчетов (не печатать'!T107+'Свод по посел.'!T92</f>
        <v>902.5</v>
      </c>
      <c r="U108" s="230">
        <f>'район для расчетов (не печатать'!U107+'Свод по посел.'!U92</f>
        <v>904.5</v>
      </c>
      <c r="V108" s="230">
        <f>'район для расчетов (не печатать'!V107+'Свод по посел.'!V92</f>
        <v>1228.1</v>
      </c>
      <c r="W108" s="258">
        <v>5610.8</v>
      </c>
      <c r="X108" s="230">
        <f>'район для расчетов (не печатать'!X107+'Свод по посел.'!X92</f>
        <v>2804.1</v>
      </c>
      <c r="Y108" s="230">
        <f>'район для расчетов (не печатать'!Y107+'Свод по посел.'!Y92</f>
        <v>1096.5</v>
      </c>
      <c r="Z108" s="230">
        <f>'район для расчетов (не печатать'!Z107+'Свод по посел.'!Z92</f>
        <v>1135</v>
      </c>
      <c r="AA108" s="258">
        <f>'район для расчетов (не печатать'!AA107+'Свод по посел.'!AA92</f>
        <v>2948.7</v>
      </c>
      <c r="AB108" s="230">
        <f>'район для расчетов (не печатать'!AB107+'Свод по посел.'!AB92</f>
        <v>978.5</v>
      </c>
      <c r="AC108" s="230">
        <f>'район для расчетов (не печатать'!AC107+'Свод по посел.'!AC92</f>
        <v>983.7</v>
      </c>
      <c r="AD108" s="230">
        <f>'район для расчетов (не печатать'!AD107+'Свод по посел.'!AD92</f>
        <v>985.7</v>
      </c>
      <c r="AE108" s="179">
        <f t="shared" si="6"/>
        <v>14315.600000000002</v>
      </c>
      <c r="AF108">
        <f>O108+S108+W108+AA108</f>
        <v>14315.600000000002</v>
      </c>
    </row>
    <row r="109" spans="1:32" ht="13.5" thickBot="1">
      <c r="A109" s="26" t="s">
        <v>17</v>
      </c>
      <c r="B109" s="17" t="s">
        <v>100</v>
      </c>
      <c r="C109" s="44" t="s">
        <v>14</v>
      </c>
      <c r="D109" s="44" t="s">
        <v>99</v>
      </c>
      <c r="E109" s="44" t="s">
        <v>23</v>
      </c>
      <c r="F109" s="44" t="s">
        <v>15</v>
      </c>
      <c r="G109" s="44" t="s">
        <v>14</v>
      </c>
      <c r="H109" s="44" t="s">
        <v>15</v>
      </c>
      <c r="I109" s="44" t="s">
        <v>16</v>
      </c>
      <c r="J109" s="149" t="s">
        <v>101</v>
      </c>
      <c r="K109" s="172">
        <f>K110</f>
        <v>14345.6</v>
      </c>
      <c r="O109" s="214">
        <f>'район для расчетов (не печатать'!O108+'Свод по посел.'!L93</f>
        <v>2000</v>
      </c>
      <c r="P109" s="184">
        <f>'район для расчетов (не печатать'!P108+'Свод по посел.'!P93</f>
        <v>660</v>
      </c>
      <c r="Q109" s="184">
        <f>'район для расчетов (не печатать'!Q108+'Свод по посел.'!Q93</f>
        <v>660.5</v>
      </c>
      <c r="R109" s="184">
        <f>'район для расчетов (не печатать'!R108+'Свод по посел.'!R93</f>
        <v>665.5</v>
      </c>
      <c r="S109" s="214">
        <f>'район для расчетов (не печатать'!S108+'Свод по посел.'!S93</f>
        <v>2024</v>
      </c>
      <c r="T109" s="184">
        <f>'район для расчетов (не печатать'!T108+'Свод по посел.'!T93</f>
        <v>662</v>
      </c>
      <c r="U109" s="184">
        <f>'район для расчетов (не печатать'!U108+'Свод по посел.'!U93</f>
        <v>663.5</v>
      </c>
      <c r="V109" s="184">
        <f>'район для расчетов (не печатать'!V108+'Свод по посел.'!V93</f>
        <v>698.5</v>
      </c>
      <c r="W109" s="214">
        <v>3094.7</v>
      </c>
      <c r="X109" s="184">
        <f>'район для расчетов (не печатать'!X108+'Свод по посел.'!X93</f>
        <v>850.5</v>
      </c>
      <c r="Y109" s="184">
        <f>'район для расчетов (не печатать'!Y108+'Свод по посел.'!Y93</f>
        <v>854.5</v>
      </c>
      <c r="Z109" s="184">
        <f>'район для расчетов (не печатать'!Z108+'Свод по посел.'!Z93</f>
        <v>873.3</v>
      </c>
      <c r="AA109" s="214">
        <f>'район для расчетов (не печатать'!AA108+'Свод по посел.'!AA93</f>
        <v>2221.2</v>
      </c>
      <c r="AB109" s="184">
        <f>'район для расчетов (не печатать'!AB108+'Свод по посел.'!AB93</f>
        <v>737.5</v>
      </c>
      <c r="AC109" s="184">
        <f>'район для расчетов (не печатать'!AC108+'Свод по посел.'!AC93</f>
        <v>741</v>
      </c>
      <c r="AD109" s="184">
        <f>'район для расчетов (не печатать'!AD108+'Свод по посел.'!AD93</f>
        <v>741.7</v>
      </c>
      <c r="AE109" s="179">
        <f t="shared" si="6"/>
        <v>9339.9</v>
      </c>
      <c r="AF109">
        <f>O109+S109+W109+AA109</f>
        <v>9339.9</v>
      </c>
    </row>
    <row r="110" spans="1:33" ht="24.75" thickBot="1">
      <c r="A110" s="25" t="s">
        <v>102</v>
      </c>
      <c r="B110" s="137" t="s">
        <v>168</v>
      </c>
      <c r="C110" s="46" t="s">
        <v>14</v>
      </c>
      <c r="D110" s="46" t="s">
        <v>99</v>
      </c>
      <c r="E110" s="46" t="s">
        <v>23</v>
      </c>
      <c r="F110" s="46" t="s">
        <v>20</v>
      </c>
      <c r="G110" s="46" t="s">
        <v>159</v>
      </c>
      <c r="H110" s="46" t="s">
        <v>38</v>
      </c>
      <c r="I110" s="46" t="s">
        <v>16</v>
      </c>
      <c r="J110" s="150" t="s">
        <v>101</v>
      </c>
      <c r="K110" s="172">
        <f>9619.6+4725.4+0.6</f>
        <v>14345.6</v>
      </c>
      <c r="L110" s="214">
        <f>'район для расчетов (не печатать'!L109+'Свод по посел.'!I94</f>
        <v>0</v>
      </c>
      <c r="M110" s="214">
        <f>'район для расчетов (не печатать'!M109+'Свод по посел.'!J94</f>
        <v>130</v>
      </c>
      <c r="N110" s="214">
        <f>'район для расчетов (не печатать'!N109+'Свод по посел.'!K94</f>
        <v>378</v>
      </c>
      <c r="O110" s="214">
        <f>'район для расчетов (не печатать'!O109+'Свод по посел.'!L94</f>
        <v>2000</v>
      </c>
      <c r="P110" s="184">
        <f>'район для расчетов (не печатать'!P109+'Свод по посел.'!P94</f>
        <v>664.5</v>
      </c>
      <c r="Q110" s="184">
        <f>'район для расчетов (не печатать'!Q109+'Свод по посел.'!Q94</f>
        <v>665</v>
      </c>
      <c r="R110" s="184">
        <f>'район для расчетов (не печатать'!R109+'Свод по посел.'!R94</f>
        <v>670.5</v>
      </c>
      <c r="S110" s="214">
        <f>'район для расчетов (не печатать'!S109+'Свод по посел.'!S94</f>
        <v>2024</v>
      </c>
      <c r="T110" s="184">
        <f>'район для расчетов (не печатать'!T109+'Свод по посел.'!T94</f>
        <v>662</v>
      </c>
      <c r="U110" s="184">
        <f>'район для расчетов (не печатать'!U109+'Свод по посел.'!U94</f>
        <v>663.5</v>
      </c>
      <c r="V110" s="184">
        <f>'район для расчетов (не печатать'!V109+'Свод по посел.'!V94</f>
        <v>698.5</v>
      </c>
      <c r="W110" s="214">
        <v>3094.7</v>
      </c>
      <c r="X110" s="184">
        <f>'район для расчетов (не печатать'!X109+'Свод по посел.'!X94</f>
        <v>850.5</v>
      </c>
      <c r="Y110" s="184">
        <f>'район для расчетов (не печатать'!Y109+'Свод по посел.'!Y94</f>
        <v>854.5</v>
      </c>
      <c r="Z110" s="184">
        <f>'район для расчетов (не печатать'!Z109+'Свод по посел.'!Z94</f>
        <v>873.3</v>
      </c>
      <c r="AA110" s="214">
        <f>'район для расчетов (не печатать'!AA109+'Свод по посел.'!AA94</f>
        <v>2221.2</v>
      </c>
      <c r="AB110" s="184">
        <f>'район для расчетов (не печатать'!AB109+'Свод по посел.'!AB94</f>
        <v>737.5</v>
      </c>
      <c r="AC110" s="184">
        <f>'район для расчетов (не печатать'!AC109+'Свод по посел.'!AC94</f>
        <v>741</v>
      </c>
      <c r="AD110" s="184">
        <f>'район для расчетов (не печатать'!AD109+'Свод по посел.'!AD94</f>
        <v>741.7</v>
      </c>
      <c r="AE110" s="179">
        <f t="shared" si="6"/>
        <v>9339.9</v>
      </c>
      <c r="AG110">
        <v>4725.4</v>
      </c>
    </row>
    <row r="111" spans="1:32" ht="24.75" thickBot="1">
      <c r="A111" s="27" t="s">
        <v>36</v>
      </c>
      <c r="B111" s="34" t="s">
        <v>103</v>
      </c>
      <c r="C111" s="71" t="s">
        <v>14</v>
      </c>
      <c r="D111" s="71" t="s">
        <v>99</v>
      </c>
      <c r="E111" s="71" t="s">
        <v>42</v>
      </c>
      <c r="F111" s="71" t="s">
        <v>15</v>
      </c>
      <c r="G111" s="71" t="s">
        <v>14</v>
      </c>
      <c r="H111" s="71" t="s">
        <v>15</v>
      </c>
      <c r="I111" s="71" t="s">
        <v>16</v>
      </c>
      <c r="J111" s="166" t="s">
        <v>86</v>
      </c>
      <c r="K111" s="172">
        <v>5134.7</v>
      </c>
      <c r="O111" s="214">
        <f>'район для расчетов (не печатать'!O110+'Свод по посел.'!L95</f>
        <v>721</v>
      </c>
      <c r="P111" s="184">
        <f>'район для расчетов (не печатать'!P110+'Свод по посел.'!P95</f>
        <v>240</v>
      </c>
      <c r="Q111" s="184">
        <f>'район для расчетов (не печатать'!Q110+'Свод по посел.'!Q95</f>
        <v>240.5</v>
      </c>
      <c r="R111" s="184">
        <f>'район для расчетов (не печатать'!R110+'Свод по посел.'!R95</f>
        <v>240.5</v>
      </c>
      <c r="S111" s="214">
        <f>'район для расчетов (не печатать'!S110+'Свод по посел.'!S95</f>
        <v>1011.1</v>
      </c>
      <c r="T111" s="184">
        <f>'район для расчетов (не печатать'!T110+'Свод по посел.'!T95</f>
        <v>240.5</v>
      </c>
      <c r="U111" s="184">
        <f>'район для расчетов (не печатать'!U110+'Свод по посел.'!U95</f>
        <v>241</v>
      </c>
      <c r="V111" s="184">
        <f>'район для расчетов (не печатать'!V110+'Свод по посел.'!V95</f>
        <v>529.5999999999999</v>
      </c>
      <c r="W111" s="214">
        <v>2516.1</v>
      </c>
      <c r="X111" s="184">
        <f>'район для расчетов (не печатать'!X110+'Свод по посел.'!X95</f>
        <v>1953.6</v>
      </c>
      <c r="Y111" s="184">
        <f>'район для расчетов (не печатать'!Y110+'Свод по посел.'!Y95</f>
        <v>242</v>
      </c>
      <c r="Z111" s="184">
        <f>'район для расчетов (не печатать'!Z110+'Свод по посел.'!Z95</f>
        <v>261.7</v>
      </c>
      <c r="AA111" s="214">
        <f>'район для расчетов (не печатать'!AA110+'Свод по посел.'!AA95</f>
        <v>727.5</v>
      </c>
      <c r="AB111" s="184">
        <f>'район для расчетов (не печатать'!AB110+'Свод по посел.'!AB95</f>
        <v>241</v>
      </c>
      <c r="AC111" s="184">
        <f>'район для расчетов (не печатать'!AC110+'Свод по посел.'!AC95</f>
        <v>242.7</v>
      </c>
      <c r="AD111" s="184">
        <f>'район для расчетов (не печатать'!AD110+'Свод по посел.'!AD95</f>
        <v>244</v>
      </c>
      <c r="AE111" s="179">
        <f t="shared" si="6"/>
        <v>4975.7</v>
      </c>
      <c r="AF111">
        <f>O111+S111+W111+AA111</f>
        <v>4975.7</v>
      </c>
    </row>
    <row r="112" spans="1:31" ht="24.75" thickBot="1">
      <c r="A112" s="125" t="s">
        <v>39</v>
      </c>
      <c r="B112" s="138" t="s">
        <v>169</v>
      </c>
      <c r="C112" s="139" t="s">
        <v>14</v>
      </c>
      <c r="D112" s="139" t="s">
        <v>99</v>
      </c>
      <c r="E112" s="139" t="s">
        <v>42</v>
      </c>
      <c r="F112" s="139" t="s">
        <v>23</v>
      </c>
      <c r="G112" s="139" t="s">
        <v>159</v>
      </c>
      <c r="H112" s="139" t="s">
        <v>38</v>
      </c>
      <c r="I112" s="139" t="s">
        <v>16</v>
      </c>
      <c r="J112" s="167" t="s">
        <v>86</v>
      </c>
      <c r="K112" s="172">
        <f>5114.7+20</f>
        <v>5134.7</v>
      </c>
      <c r="L112" s="214">
        <f>'район для расчетов (не печатать'!L111+'Свод по посел.'!I96</f>
        <v>0</v>
      </c>
      <c r="M112" s="214">
        <f>'район для расчетов (не печатать'!M111+'Свод по посел.'!J96</f>
        <v>180</v>
      </c>
      <c r="N112" s="214">
        <f>'район для расчетов (не печатать'!N111+'Свод по посел.'!K96</f>
        <v>103</v>
      </c>
      <c r="O112" s="214">
        <f>'район для расчетов (не печатать'!O111+'Свод по посел.'!L96</f>
        <v>721</v>
      </c>
      <c r="P112" s="184">
        <f>'район для расчетов (не печатать'!P111+'Свод по посел.'!P96</f>
        <v>240</v>
      </c>
      <c r="Q112" s="184">
        <f>'район для расчетов (не печатать'!Q111+'Свод по посел.'!Q96</f>
        <v>240.5</v>
      </c>
      <c r="R112" s="184">
        <f>'район для расчетов (не печатать'!R111+'Свод по посел.'!R96</f>
        <v>240.5</v>
      </c>
      <c r="S112" s="214">
        <f>'район для расчетов (не печатать'!S111+'Свод по посел.'!S96</f>
        <v>1011.1</v>
      </c>
      <c r="T112" s="184">
        <f>'район для расчетов (не печатать'!T111+'Свод по посел.'!T96</f>
        <v>240.5</v>
      </c>
      <c r="U112" s="184">
        <f>'район для расчетов (не печатать'!U111+'Свод по посел.'!U96</f>
        <v>241</v>
      </c>
      <c r="V112" s="184">
        <f>'район для расчетов (не печатать'!V111+'Свод по посел.'!V96</f>
        <v>529.5999999999999</v>
      </c>
      <c r="W112" s="214">
        <v>2516.1</v>
      </c>
      <c r="X112" s="184">
        <f>'район для расчетов (не печатать'!X111+'Свод по посел.'!X96</f>
        <v>1953.6</v>
      </c>
      <c r="Y112" s="184">
        <f>'район для расчетов (не печатать'!Y111+'Свод по посел.'!Y96</f>
        <v>242</v>
      </c>
      <c r="Z112" s="184">
        <f>'район для расчетов (не печатать'!Z111+'Свод по посел.'!Z96</f>
        <v>261.5</v>
      </c>
      <c r="AA112" s="214">
        <f>'район для расчетов (не печатать'!AA111+'Свод по посел.'!AA96</f>
        <v>727.5</v>
      </c>
      <c r="AB112" s="184">
        <f>'район для расчетов (не печатать'!AB111+'Свод по посел.'!AB96</f>
        <v>241</v>
      </c>
      <c r="AC112" s="184">
        <f>'район для расчетов (не печатать'!AC111+'Свод по посел.'!AC96</f>
        <v>242.7</v>
      </c>
      <c r="AD112" s="184">
        <f>'район для расчетов (не печатать'!AD111+'Свод по посел.'!AD96</f>
        <v>244</v>
      </c>
      <c r="AE112" s="179">
        <f t="shared" si="6"/>
        <v>4975.7</v>
      </c>
    </row>
    <row r="113" spans="1:31" ht="13.5" thickBot="1">
      <c r="A113" s="35"/>
      <c r="B113" s="94" t="s">
        <v>104</v>
      </c>
      <c r="C113" s="50"/>
      <c r="D113" s="50"/>
      <c r="E113" s="50"/>
      <c r="F113" s="50"/>
      <c r="G113" s="50"/>
      <c r="H113" s="50"/>
      <c r="I113" s="50"/>
      <c r="J113" s="152"/>
      <c r="K113" s="174">
        <f>K23+K68+K108</f>
        <v>305652.10000000003</v>
      </c>
      <c r="L113" s="174">
        <f aca="true" t="shared" si="9" ref="L113:AA113">L23+L68+L108</f>
        <v>11399</v>
      </c>
      <c r="M113" s="174">
        <f t="shared" si="9"/>
        <v>68929.4</v>
      </c>
      <c r="N113" s="174">
        <f t="shared" si="9"/>
        <v>0</v>
      </c>
      <c r="O113" s="174">
        <f t="shared" si="9"/>
        <v>69306.5</v>
      </c>
      <c r="P113" s="174">
        <f t="shared" si="9"/>
        <v>25247</v>
      </c>
      <c r="Q113" s="174">
        <f t="shared" si="9"/>
        <v>24587.5</v>
      </c>
      <c r="R113" s="174">
        <f t="shared" si="9"/>
        <v>19454.5</v>
      </c>
      <c r="S113" s="174">
        <f t="shared" si="9"/>
        <v>76349.20000000001</v>
      </c>
      <c r="T113" s="174">
        <f t="shared" si="9"/>
        <v>22952</v>
      </c>
      <c r="U113" s="174">
        <f t="shared" si="9"/>
        <v>22043.5</v>
      </c>
      <c r="V113" s="174">
        <f t="shared" si="9"/>
        <v>31353.699999999997</v>
      </c>
      <c r="W113" s="174">
        <f t="shared" si="9"/>
        <v>68157.6</v>
      </c>
      <c r="X113" s="174">
        <f t="shared" si="9"/>
        <v>23729.6</v>
      </c>
      <c r="Y113" s="174">
        <f t="shared" si="9"/>
        <v>21279</v>
      </c>
      <c r="Z113" s="174">
        <f t="shared" si="9"/>
        <v>22363.8</v>
      </c>
      <c r="AA113" s="174">
        <f t="shared" si="9"/>
        <v>76244.2</v>
      </c>
      <c r="AB113" s="174">
        <f>AB23+AB68+AB108</f>
        <v>24942</v>
      </c>
      <c r="AC113" s="174">
        <f>AC23+AC68+AC108</f>
        <v>25491.7</v>
      </c>
      <c r="AD113" s="174">
        <f>AD23+AD68+AD108</f>
        <v>25729.9</v>
      </c>
      <c r="AE113" s="179">
        <f t="shared" si="6"/>
        <v>290057.5</v>
      </c>
    </row>
    <row r="114" spans="15:27" ht="12.75" hidden="1">
      <c r="O114" s="210">
        <f>SUM(P113:R113)</f>
        <v>69289</v>
      </c>
      <c r="S114" s="210">
        <f>SUM(T113:V113)</f>
        <v>76349.2</v>
      </c>
      <c r="W114" s="210">
        <f>SUM(X113:Z113)</f>
        <v>67372.4</v>
      </c>
      <c r="AA114" s="210">
        <f>SUM(AB113:AD113)</f>
        <v>76163.6</v>
      </c>
    </row>
    <row r="115" ht="12.75" hidden="1">
      <c r="K115">
        <f>O114+S114+W114+AA114</f>
        <v>289174.2</v>
      </c>
    </row>
    <row r="116" ht="12.75" hidden="1">
      <c r="K116">
        <f>O113+S113+W113+AA113</f>
        <v>290057.5</v>
      </c>
    </row>
    <row r="117" ht="12.75" hidden="1">
      <c r="K117">
        <f>O113+S113+W113+AA113</f>
        <v>290057.5</v>
      </c>
    </row>
  </sheetData>
  <mergeCells count="6">
    <mergeCell ref="H6:K6"/>
    <mergeCell ref="A42:A43"/>
    <mergeCell ref="A11:K11"/>
    <mergeCell ref="B12:K12"/>
    <mergeCell ref="C16:J20"/>
    <mergeCell ref="C21:J21"/>
  </mergeCells>
  <printOptions/>
  <pageMargins left="0.24" right="0.23" top="0.76" bottom="0.16" header="0.17" footer="0.16"/>
  <pageSetup fitToHeight="2" fitToWidth="2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1">
      <pane xSplit="8325" ySplit="1290" topLeftCell="W22" activePane="bottomRight" state="split"/>
      <selection pane="topLeft" activeCell="A1" sqref="A1:IV16384"/>
      <selection pane="topRight" activeCell="O20" sqref="O1:O16384"/>
      <selection pane="bottomLeft" activeCell="B29" sqref="B29"/>
      <selection pane="bottomRight" activeCell="AB27" sqref="AB27:AC2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122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43">
        <f>K24+K31+K34+K38+K41+K47+K55+K64+K65+K61</f>
        <v>161</v>
      </c>
      <c r="L23" s="43">
        <f aca="true" t="shared" si="0" ref="L23:AD23">L24+L31+L34+L38+L41+L47+L55+L64+L65+L61</f>
        <v>0</v>
      </c>
      <c r="M23" s="43">
        <f t="shared" si="0"/>
        <v>0</v>
      </c>
      <c r="N23" s="43">
        <f t="shared" si="0"/>
        <v>0</v>
      </c>
      <c r="O23" s="219">
        <f t="shared" si="0"/>
        <v>40</v>
      </c>
      <c r="P23" s="43">
        <f t="shared" si="0"/>
        <v>12</v>
      </c>
      <c r="Q23" s="43">
        <f t="shared" si="0"/>
        <v>13</v>
      </c>
      <c r="R23" s="43">
        <f t="shared" si="0"/>
        <v>15</v>
      </c>
      <c r="S23" s="219">
        <f t="shared" si="0"/>
        <v>40</v>
      </c>
      <c r="T23" s="43">
        <f t="shared" si="0"/>
        <v>12</v>
      </c>
      <c r="U23" s="43">
        <f t="shared" si="0"/>
        <v>13</v>
      </c>
      <c r="V23" s="43">
        <f t="shared" si="0"/>
        <v>15</v>
      </c>
      <c r="W23" s="219">
        <f t="shared" si="0"/>
        <v>62</v>
      </c>
      <c r="X23" s="43">
        <f t="shared" si="0"/>
        <v>13</v>
      </c>
      <c r="Y23" s="43">
        <f t="shared" si="0"/>
        <v>14</v>
      </c>
      <c r="Z23" s="43">
        <f t="shared" si="0"/>
        <v>35</v>
      </c>
      <c r="AA23" s="219">
        <f t="shared" si="0"/>
        <v>65</v>
      </c>
      <c r="AB23" s="43">
        <f t="shared" si="0"/>
        <v>14</v>
      </c>
      <c r="AC23" s="43">
        <f t="shared" si="0"/>
        <v>35</v>
      </c>
      <c r="AD23" s="43">
        <f t="shared" si="0"/>
        <v>66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0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0</v>
      </c>
      <c r="P24" s="45">
        <f t="shared" si="1"/>
        <v>0</v>
      </c>
      <c r="Q24" s="45">
        <f t="shared" si="1"/>
        <v>0</v>
      </c>
      <c r="R24" s="45">
        <f t="shared" si="1"/>
        <v>0</v>
      </c>
      <c r="S24" s="216">
        <f t="shared" si="1"/>
        <v>0</v>
      </c>
      <c r="T24" s="45">
        <f t="shared" si="1"/>
        <v>0</v>
      </c>
      <c r="U24" s="45">
        <f t="shared" si="1"/>
        <v>0</v>
      </c>
      <c r="V24" s="45">
        <f t="shared" si="1"/>
        <v>0</v>
      </c>
      <c r="W24" s="216">
        <f t="shared" si="1"/>
        <v>0</v>
      </c>
      <c r="X24" s="45">
        <f t="shared" si="1"/>
        <v>0</v>
      </c>
      <c r="Y24" s="45">
        <f t="shared" si="1"/>
        <v>0</v>
      </c>
      <c r="Z24" s="45">
        <f t="shared" si="1"/>
        <v>0</v>
      </c>
      <c r="AA24" s="216">
        <f t="shared" si="1"/>
        <v>0</v>
      </c>
      <c r="AB24" s="45">
        <f t="shared" si="1"/>
        <v>0</v>
      </c>
      <c r="AC24" s="45">
        <f t="shared" si="1"/>
        <v>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0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0</v>
      </c>
      <c r="S25" s="216">
        <f t="shared" si="2"/>
        <v>0</v>
      </c>
      <c r="T25" s="45">
        <f t="shared" si="2"/>
        <v>0</v>
      </c>
      <c r="U25" s="45">
        <f t="shared" si="2"/>
        <v>0</v>
      </c>
      <c r="V25" s="45">
        <f t="shared" si="2"/>
        <v>0</v>
      </c>
      <c r="W25" s="216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216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/>
      <c r="O27" s="214"/>
      <c r="P27" s="184"/>
      <c r="Q27" s="184"/>
      <c r="R27" s="184"/>
      <c r="S27" s="214"/>
      <c r="T27" s="184"/>
      <c r="U27" s="184"/>
      <c r="V27" s="184"/>
      <c r="W27" s="214"/>
      <c r="X27" s="184"/>
      <c r="Y27" s="184"/>
      <c r="Z27" s="184"/>
      <c r="AA27" s="214"/>
      <c r="AB27" s="184"/>
      <c r="AC27" s="184"/>
      <c r="AD27" s="184">
        <v>50</v>
      </c>
    </row>
    <row r="28" spans="1:30" ht="71.2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/>
      <c r="O28" s="214"/>
      <c r="P28" s="184"/>
      <c r="Q28" s="184"/>
      <c r="R28" s="184"/>
      <c r="S28" s="214"/>
      <c r="T28" s="184"/>
      <c r="U28" s="184"/>
      <c r="V28" s="184"/>
      <c r="W28" s="214"/>
      <c r="X28" s="184"/>
      <c r="Y28" s="184"/>
      <c r="Z28" s="184"/>
      <c r="AA28" s="214"/>
      <c r="AB28" s="184"/>
      <c r="AC28" s="184"/>
      <c r="AD28" s="184">
        <v>50</v>
      </c>
    </row>
    <row r="29" spans="1:30" ht="51.75" customHeigh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0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22</v>
      </c>
      <c r="X34" s="43">
        <f t="shared" si="3"/>
        <v>1</v>
      </c>
      <c r="Y34" s="43">
        <f t="shared" si="3"/>
        <v>1</v>
      </c>
      <c r="Z34" s="43">
        <f t="shared" si="3"/>
        <v>20</v>
      </c>
      <c r="AA34" s="219">
        <f t="shared" si="3"/>
        <v>24</v>
      </c>
      <c r="AB34" s="43">
        <f t="shared" si="3"/>
        <v>1</v>
      </c>
      <c r="AC34" s="43">
        <f t="shared" si="3"/>
        <v>22</v>
      </c>
      <c r="AD34" s="43">
        <f t="shared" si="3"/>
        <v>1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/>
      <c r="O35" s="214"/>
      <c r="P35" s="184"/>
      <c r="Q35" s="184"/>
      <c r="R35" s="184"/>
      <c r="S35" s="214"/>
      <c r="T35" s="184"/>
      <c r="U35" s="184"/>
      <c r="V35" s="184"/>
      <c r="W35" s="214">
        <f>6/3</f>
        <v>2</v>
      </c>
      <c r="X35" s="184">
        <v>1</v>
      </c>
      <c r="Y35" s="184">
        <v>1</v>
      </c>
      <c r="Z35" s="184"/>
      <c r="AA35" s="214">
        <v>4</v>
      </c>
      <c r="AB35" s="184">
        <v>1</v>
      </c>
      <c r="AC35" s="184">
        <v>2</v>
      </c>
      <c r="AD35" s="184">
        <v>1</v>
      </c>
    </row>
    <row r="36" spans="1:30" ht="12.75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>
        <v>20</v>
      </c>
      <c r="X37" s="184"/>
      <c r="Y37" s="184"/>
      <c r="Z37" s="184">
        <v>20</v>
      </c>
      <c r="AA37" s="214">
        <v>20</v>
      </c>
      <c r="AB37" s="184"/>
      <c r="AC37" s="184">
        <v>20</v>
      </c>
      <c r="AD37" s="184"/>
    </row>
    <row r="38" spans="1:30" ht="13.5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2.75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2.75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K43+K44+K45+K46</f>
        <v>0</v>
      </c>
      <c r="L41" s="124">
        <f>L43+L44+L45+L46</f>
        <v>0</v>
      </c>
      <c r="M41" s="124">
        <f>M43+M44+M45+M46</f>
        <v>0</v>
      </c>
      <c r="N41" s="124">
        <f>N43+N44+N45+N46</f>
        <v>0</v>
      </c>
      <c r="O41" s="270">
        <f>O43+O44+O45+O46</f>
        <v>0</v>
      </c>
      <c r="P41" s="124"/>
      <c r="Q41" s="124"/>
      <c r="R41" s="124"/>
      <c r="S41" s="270">
        <f>S43+S44+S45+S46</f>
        <v>0</v>
      </c>
      <c r="T41" s="124"/>
      <c r="U41" s="124"/>
      <c r="V41" s="124"/>
      <c r="W41" s="270">
        <f>W43+W44+W45+W46</f>
        <v>0</v>
      </c>
      <c r="X41" s="124"/>
      <c r="Y41" s="124"/>
      <c r="Z41" s="124"/>
      <c r="AA41" s="270">
        <f>AA43+AA44+AA45+AA46</f>
        <v>0</v>
      </c>
      <c r="AB41" s="124"/>
      <c r="AC41" s="124"/>
      <c r="AD41" s="124"/>
    </row>
    <row r="42" spans="1:30" ht="13.5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2.75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2.75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161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19">
        <f t="shared" si="4"/>
        <v>40</v>
      </c>
      <c r="P47" s="43">
        <f t="shared" si="4"/>
        <v>12</v>
      </c>
      <c r="Q47" s="43">
        <f t="shared" si="4"/>
        <v>13</v>
      </c>
      <c r="R47" s="43">
        <f t="shared" si="4"/>
        <v>15</v>
      </c>
      <c r="S47" s="219">
        <f t="shared" si="4"/>
        <v>40</v>
      </c>
      <c r="T47" s="43">
        <f t="shared" si="4"/>
        <v>12</v>
      </c>
      <c r="U47" s="43">
        <f t="shared" si="4"/>
        <v>13</v>
      </c>
      <c r="V47" s="43">
        <f t="shared" si="4"/>
        <v>15</v>
      </c>
      <c r="W47" s="219">
        <f t="shared" si="4"/>
        <v>40</v>
      </c>
      <c r="X47" s="43">
        <f t="shared" si="4"/>
        <v>12</v>
      </c>
      <c r="Y47" s="43">
        <f t="shared" si="4"/>
        <v>13</v>
      </c>
      <c r="Z47" s="43">
        <f t="shared" si="4"/>
        <v>15</v>
      </c>
      <c r="AA47" s="219">
        <f t="shared" si="4"/>
        <v>41</v>
      </c>
      <c r="AB47" s="43">
        <f t="shared" si="4"/>
        <v>13</v>
      </c>
      <c r="AC47" s="43">
        <f t="shared" si="4"/>
        <v>13</v>
      </c>
      <c r="AD47" s="43">
        <f t="shared" si="4"/>
        <v>15</v>
      </c>
    </row>
    <row r="48" spans="1:30" ht="12.75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8" customHeight="1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45">
        <f>K50</f>
        <v>140</v>
      </c>
      <c r="L49" s="45">
        <f aca="true" t="shared" si="5" ref="L49:AD49">L50</f>
        <v>0</v>
      </c>
      <c r="M49" s="45">
        <f t="shared" si="5"/>
        <v>0</v>
      </c>
      <c r="N49" s="45">
        <f t="shared" si="5"/>
        <v>0</v>
      </c>
      <c r="O49" s="216">
        <f t="shared" si="5"/>
        <v>35</v>
      </c>
      <c r="P49" s="45">
        <f t="shared" si="5"/>
        <v>11</v>
      </c>
      <c r="Q49" s="45">
        <f t="shared" si="5"/>
        <v>11</v>
      </c>
      <c r="R49" s="45">
        <f t="shared" si="5"/>
        <v>13</v>
      </c>
      <c r="S49" s="216">
        <f t="shared" si="5"/>
        <v>35</v>
      </c>
      <c r="T49" s="45">
        <f t="shared" si="5"/>
        <v>11</v>
      </c>
      <c r="U49" s="45">
        <f t="shared" si="5"/>
        <v>11</v>
      </c>
      <c r="V49" s="45">
        <f t="shared" si="5"/>
        <v>13</v>
      </c>
      <c r="W49" s="216">
        <f t="shared" si="5"/>
        <v>35</v>
      </c>
      <c r="X49" s="45">
        <f t="shared" si="5"/>
        <v>11</v>
      </c>
      <c r="Y49" s="45">
        <f t="shared" si="5"/>
        <v>11</v>
      </c>
      <c r="Z49" s="45">
        <f t="shared" si="5"/>
        <v>13</v>
      </c>
      <c r="AA49" s="216">
        <f t="shared" si="5"/>
        <v>35</v>
      </c>
      <c r="AB49" s="45">
        <f t="shared" si="5"/>
        <v>11</v>
      </c>
      <c r="AC49" s="45">
        <f t="shared" si="5"/>
        <v>11</v>
      </c>
      <c r="AD49" s="45">
        <f t="shared" si="5"/>
        <v>13</v>
      </c>
    </row>
    <row r="50" spans="1:30" ht="46.5" customHeight="1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45">
        <v>140</v>
      </c>
      <c r="O50" s="214">
        <f>140/4</f>
        <v>35</v>
      </c>
      <c r="P50" s="184">
        <v>11</v>
      </c>
      <c r="Q50" s="184">
        <v>11</v>
      </c>
      <c r="R50" s="184">
        <v>13</v>
      </c>
      <c r="S50" s="214">
        <v>35</v>
      </c>
      <c r="T50" s="184">
        <v>11</v>
      </c>
      <c r="U50" s="184">
        <v>11</v>
      </c>
      <c r="V50" s="184">
        <v>13</v>
      </c>
      <c r="W50" s="214">
        <v>35</v>
      </c>
      <c r="X50" s="184">
        <v>11</v>
      </c>
      <c r="Y50" s="184">
        <v>11</v>
      </c>
      <c r="Z50" s="184">
        <v>13</v>
      </c>
      <c r="AA50" s="214">
        <v>35</v>
      </c>
      <c r="AB50" s="184">
        <v>11</v>
      </c>
      <c r="AC50" s="184">
        <v>11</v>
      </c>
      <c r="AD50" s="184">
        <v>13</v>
      </c>
    </row>
    <row r="51" spans="1:30" ht="12.75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08">
        <f>K54</f>
        <v>21</v>
      </c>
      <c r="L53" s="108">
        <f>L54</f>
        <v>0</v>
      </c>
      <c r="M53" s="108">
        <f>M54</f>
        <v>0</v>
      </c>
      <c r="N53" s="108">
        <f>N54</f>
        <v>0</v>
      </c>
      <c r="O53" s="225">
        <f>O54</f>
        <v>5</v>
      </c>
      <c r="P53" s="184">
        <v>1</v>
      </c>
      <c r="Q53" s="184">
        <v>2</v>
      </c>
      <c r="R53" s="184">
        <v>2</v>
      </c>
      <c r="S53" s="225">
        <f>S54</f>
        <v>5</v>
      </c>
      <c r="T53" s="184">
        <v>1</v>
      </c>
      <c r="U53" s="184">
        <v>2</v>
      </c>
      <c r="V53" s="184">
        <v>2</v>
      </c>
      <c r="W53" s="225">
        <f>W54</f>
        <v>5</v>
      </c>
      <c r="X53" s="184">
        <v>1</v>
      </c>
      <c r="Y53" s="184">
        <v>2</v>
      </c>
      <c r="Z53" s="184">
        <v>2</v>
      </c>
      <c r="AA53" s="225">
        <f>AA54</f>
        <v>6</v>
      </c>
      <c r="AB53" s="184">
        <v>2</v>
      </c>
      <c r="AC53" s="184">
        <v>2</v>
      </c>
      <c r="AD53" s="184"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21</v>
      </c>
      <c r="O54" s="214">
        <v>5</v>
      </c>
      <c r="P54" s="184">
        <v>1</v>
      </c>
      <c r="Q54" s="184">
        <v>2</v>
      </c>
      <c r="R54" s="184">
        <v>2</v>
      </c>
      <c r="S54" s="214">
        <v>5</v>
      </c>
      <c r="T54" s="184">
        <v>1</v>
      </c>
      <c r="U54" s="184">
        <v>2</v>
      </c>
      <c r="V54" s="184">
        <v>2</v>
      </c>
      <c r="W54" s="214">
        <v>5</v>
      </c>
      <c r="X54" s="184">
        <v>1</v>
      </c>
      <c r="Y54" s="184">
        <v>2</v>
      </c>
      <c r="Z54" s="184">
        <v>2</v>
      </c>
      <c r="AA54" s="214">
        <v>6</v>
      </c>
      <c r="AB54" s="184">
        <v>2</v>
      </c>
      <c r="AC54" s="184">
        <v>2</v>
      </c>
      <c r="AD54" s="184">
        <v>2</v>
      </c>
    </row>
    <row r="55" spans="1:30" ht="12.75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2.75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2.75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K63</f>
        <v>0</v>
      </c>
      <c r="L61" s="68">
        <f>L63</f>
        <v>0</v>
      </c>
      <c r="M61" s="68">
        <f>M63</f>
        <v>0</v>
      </c>
      <c r="N61" s="68">
        <f>N63</f>
        <v>0</v>
      </c>
      <c r="O61" s="224">
        <f>O63</f>
        <v>0</v>
      </c>
      <c r="P61" s="68"/>
      <c r="Q61" s="68"/>
      <c r="R61" s="68"/>
      <c r="S61" s="224">
        <f>S63</f>
        <v>0</v>
      </c>
      <c r="T61" s="68"/>
      <c r="U61" s="68"/>
      <c r="V61" s="68"/>
      <c r="W61" s="224">
        <f>W63</f>
        <v>0</v>
      </c>
      <c r="X61" s="68"/>
      <c r="Y61" s="68"/>
      <c r="Z61" s="68"/>
      <c r="AA61" s="224">
        <f>AA63</f>
        <v>0</v>
      </c>
      <c r="AB61" s="68"/>
      <c r="AC61" s="68"/>
      <c r="AD61" s="68"/>
    </row>
    <row r="62" spans="1:30" ht="24.75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45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3">
        <f aca="true" t="shared" si="6" ref="E66:N66">E68+E70+E72+E83+E90+E91</f>
        <v>12</v>
      </c>
      <c r="F66" s="43">
        <f t="shared" si="6"/>
        <v>16</v>
      </c>
      <c r="G66" s="43">
        <f t="shared" si="6"/>
        <v>1860</v>
      </c>
      <c r="H66" s="43">
        <f t="shared" si="6"/>
        <v>11</v>
      </c>
      <c r="I66" s="43">
        <f t="shared" si="6"/>
        <v>0</v>
      </c>
      <c r="J66" s="43">
        <f t="shared" si="6"/>
        <v>755</v>
      </c>
      <c r="K66" s="43">
        <f t="shared" si="6"/>
        <v>578</v>
      </c>
      <c r="L66" s="43">
        <f t="shared" si="6"/>
        <v>0</v>
      </c>
      <c r="M66" s="43">
        <f t="shared" si="6"/>
        <v>0</v>
      </c>
      <c r="N66" s="43">
        <f t="shared" si="6"/>
        <v>0</v>
      </c>
      <c r="O66" s="219">
        <f aca="true" t="shared" si="7" ref="O66:AD66">O68+O70+O72+O83+O90+O91</f>
        <v>144</v>
      </c>
      <c r="P66" s="43">
        <f t="shared" si="7"/>
        <v>48</v>
      </c>
      <c r="Q66" s="43">
        <f t="shared" si="7"/>
        <v>48</v>
      </c>
      <c r="R66" s="43">
        <f t="shared" si="7"/>
        <v>48</v>
      </c>
      <c r="S66" s="219">
        <f t="shared" si="7"/>
        <v>144</v>
      </c>
      <c r="T66" s="43">
        <f t="shared" si="7"/>
        <v>48</v>
      </c>
      <c r="U66" s="43">
        <f t="shared" si="7"/>
        <v>48</v>
      </c>
      <c r="V66" s="43">
        <f t="shared" si="7"/>
        <v>48</v>
      </c>
      <c r="W66" s="219">
        <f t="shared" si="7"/>
        <v>145</v>
      </c>
      <c r="X66" s="43">
        <f t="shared" si="7"/>
        <v>48</v>
      </c>
      <c r="Y66" s="43">
        <f t="shared" si="7"/>
        <v>48</v>
      </c>
      <c r="Z66" s="43">
        <f t="shared" si="7"/>
        <v>49</v>
      </c>
      <c r="AA66" s="219">
        <f t="shared" si="7"/>
        <v>145</v>
      </c>
      <c r="AB66" s="43">
        <f t="shared" si="7"/>
        <v>48</v>
      </c>
      <c r="AC66" s="43">
        <f t="shared" si="7"/>
        <v>48</v>
      </c>
      <c r="AD66" s="43">
        <f t="shared" si="7"/>
        <v>49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565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6">
        <f t="shared" si="8"/>
        <v>141</v>
      </c>
      <c r="P68" s="45">
        <f t="shared" si="8"/>
        <v>47</v>
      </c>
      <c r="Q68" s="45">
        <f t="shared" si="8"/>
        <v>47</v>
      </c>
      <c r="R68" s="45">
        <f t="shared" si="8"/>
        <v>47</v>
      </c>
      <c r="S68" s="216">
        <f t="shared" si="8"/>
        <v>141</v>
      </c>
      <c r="T68" s="45">
        <f t="shared" si="8"/>
        <v>47</v>
      </c>
      <c r="U68" s="45">
        <f t="shared" si="8"/>
        <v>47</v>
      </c>
      <c r="V68" s="45">
        <f t="shared" si="8"/>
        <v>47</v>
      </c>
      <c r="W68" s="216">
        <f t="shared" si="8"/>
        <v>141</v>
      </c>
      <c r="X68" s="45">
        <f t="shared" si="8"/>
        <v>47</v>
      </c>
      <c r="Y68" s="45">
        <f t="shared" si="8"/>
        <v>47</v>
      </c>
      <c r="Z68" s="45">
        <f t="shared" si="8"/>
        <v>47</v>
      </c>
      <c r="AA68" s="216">
        <f t="shared" si="8"/>
        <v>142</v>
      </c>
      <c r="AB68" s="45">
        <f t="shared" si="8"/>
        <v>47</v>
      </c>
      <c r="AC68" s="45">
        <f t="shared" si="8"/>
        <v>47</v>
      </c>
      <c r="AD68" s="45">
        <f t="shared" si="8"/>
        <v>48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45">
        <v>565</v>
      </c>
      <c r="O69" s="214">
        <v>141</v>
      </c>
      <c r="P69" s="184">
        <v>47</v>
      </c>
      <c r="Q69" s="184">
        <v>47</v>
      </c>
      <c r="R69" s="184">
        <v>47</v>
      </c>
      <c r="S69" s="214">
        <v>141</v>
      </c>
      <c r="T69" s="184">
        <v>47</v>
      </c>
      <c r="U69" s="184">
        <v>47</v>
      </c>
      <c r="V69" s="184">
        <v>47</v>
      </c>
      <c r="W69" s="214">
        <v>141</v>
      </c>
      <c r="X69" s="184">
        <v>47</v>
      </c>
      <c r="Y69" s="184">
        <v>47</v>
      </c>
      <c r="Z69" s="184">
        <v>47</v>
      </c>
      <c r="AA69" s="214">
        <v>142</v>
      </c>
      <c r="AB69" s="184">
        <v>47</v>
      </c>
      <c r="AC69" s="184">
        <v>47</v>
      </c>
      <c r="AD69" s="184">
        <v>48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44">
        <v>0</v>
      </c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44">
        <v>0</v>
      </c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13</v>
      </c>
      <c r="O90" s="214">
        <v>3</v>
      </c>
      <c r="P90" s="184">
        <v>1</v>
      </c>
      <c r="Q90" s="184">
        <v>1</v>
      </c>
      <c r="R90" s="184">
        <v>1</v>
      </c>
      <c r="S90" s="214">
        <v>3</v>
      </c>
      <c r="T90" s="184">
        <v>1</v>
      </c>
      <c r="U90" s="184">
        <v>1</v>
      </c>
      <c r="V90" s="184">
        <v>1</v>
      </c>
      <c r="W90" s="214">
        <v>4</v>
      </c>
      <c r="X90" s="184">
        <v>1</v>
      </c>
      <c r="Y90" s="184">
        <v>1</v>
      </c>
      <c r="Z90" s="184">
        <v>2</v>
      </c>
      <c r="AA90" s="214">
        <v>3</v>
      </c>
      <c r="AB90" s="184">
        <v>1</v>
      </c>
      <c r="AC90" s="184">
        <v>1</v>
      </c>
      <c r="AD90" s="184">
        <v>1</v>
      </c>
    </row>
    <row r="91" spans="1:30" ht="24.75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71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19">
        <f t="shared" si="9"/>
        <v>22</v>
      </c>
      <c r="P92" s="43">
        <f t="shared" si="9"/>
        <v>7</v>
      </c>
      <c r="Q92" s="43">
        <f t="shared" si="9"/>
        <v>7</v>
      </c>
      <c r="R92" s="43">
        <f t="shared" si="9"/>
        <v>8</v>
      </c>
      <c r="S92" s="219">
        <f t="shared" si="9"/>
        <v>16</v>
      </c>
      <c r="T92" s="43">
        <f t="shared" si="9"/>
        <v>5</v>
      </c>
      <c r="U92" s="43">
        <f t="shared" si="9"/>
        <v>5.5</v>
      </c>
      <c r="V92" s="43">
        <f t="shared" si="9"/>
        <v>5.5</v>
      </c>
      <c r="W92" s="219">
        <f t="shared" si="9"/>
        <v>16</v>
      </c>
      <c r="X92" s="43">
        <f t="shared" si="9"/>
        <v>5</v>
      </c>
      <c r="Y92" s="43">
        <f t="shared" si="9"/>
        <v>5.5</v>
      </c>
      <c r="Z92" s="43">
        <f t="shared" si="9"/>
        <v>5.5</v>
      </c>
      <c r="AA92" s="219">
        <f t="shared" si="9"/>
        <v>17</v>
      </c>
      <c r="AB92" s="43">
        <f t="shared" si="9"/>
        <v>5</v>
      </c>
      <c r="AC92" s="43">
        <f t="shared" si="9"/>
        <v>5.5</v>
      </c>
      <c r="AD92" s="43">
        <f t="shared" si="9"/>
        <v>5.5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71</v>
      </c>
      <c r="L93" s="108">
        <f aca="true" t="shared" si="10" ref="L93:AD93">L94</f>
        <v>0</v>
      </c>
      <c r="M93" s="108">
        <f t="shared" si="10"/>
        <v>0</v>
      </c>
      <c r="N93" s="108">
        <f t="shared" si="10"/>
        <v>0</v>
      </c>
      <c r="O93" s="225">
        <f t="shared" si="10"/>
        <v>22</v>
      </c>
      <c r="P93" s="108">
        <f t="shared" si="10"/>
        <v>7</v>
      </c>
      <c r="Q93" s="108">
        <f t="shared" si="10"/>
        <v>7</v>
      </c>
      <c r="R93" s="108">
        <f t="shared" si="10"/>
        <v>8</v>
      </c>
      <c r="S93" s="225">
        <f t="shared" si="10"/>
        <v>16</v>
      </c>
      <c r="T93" s="108">
        <f t="shared" si="10"/>
        <v>5</v>
      </c>
      <c r="U93" s="108">
        <f t="shared" si="10"/>
        <v>5.5</v>
      </c>
      <c r="V93" s="108">
        <f t="shared" si="10"/>
        <v>5.5</v>
      </c>
      <c r="W93" s="225">
        <f t="shared" si="10"/>
        <v>16</v>
      </c>
      <c r="X93" s="108">
        <f t="shared" si="10"/>
        <v>5</v>
      </c>
      <c r="Y93" s="108">
        <f t="shared" si="10"/>
        <v>5.5</v>
      </c>
      <c r="Z93" s="108">
        <f t="shared" si="10"/>
        <v>5.5</v>
      </c>
      <c r="AA93" s="225">
        <f t="shared" si="10"/>
        <v>17</v>
      </c>
      <c r="AB93" s="108">
        <f t="shared" si="10"/>
        <v>5</v>
      </c>
      <c r="AC93" s="108">
        <f t="shared" si="10"/>
        <v>5.5</v>
      </c>
      <c r="AD93" s="108">
        <f t="shared" si="10"/>
        <v>5.5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f>61+10</f>
        <v>71</v>
      </c>
      <c r="O94" s="214">
        <f>15+7</f>
        <v>22</v>
      </c>
      <c r="P94" s="184">
        <f>5+2</f>
        <v>7</v>
      </c>
      <c r="Q94" s="184">
        <f>5+2</f>
        <v>7</v>
      </c>
      <c r="R94" s="184">
        <v>8</v>
      </c>
      <c r="S94" s="214">
        <v>16</v>
      </c>
      <c r="T94" s="184">
        <v>5</v>
      </c>
      <c r="U94" s="184">
        <v>5.5</v>
      </c>
      <c r="V94" s="184">
        <v>5.5</v>
      </c>
      <c r="W94" s="214">
        <v>16</v>
      </c>
      <c r="X94" s="184">
        <v>5</v>
      </c>
      <c r="Y94" s="184">
        <v>5.5</v>
      </c>
      <c r="Z94" s="184">
        <v>5.5</v>
      </c>
      <c r="AA94" s="214">
        <v>17</v>
      </c>
      <c r="AB94" s="184">
        <v>5</v>
      </c>
      <c r="AC94" s="184">
        <v>5.5</v>
      </c>
      <c r="AD94" s="184">
        <v>5.5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0</v>
      </c>
      <c r="L95" s="108">
        <f aca="true" t="shared" si="11" ref="L95:AD95">L96</f>
        <v>0</v>
      </c>
      <c r="M95" s="108">
        <f t="shared" si="11"/>
        <v>0</v>
      </c>
      <c r="N95" s="108">
        <f t="shared" si="11"/>
        <v>0</v>
      </c>
      <c r="O95" s="225">
        <f t="shared" si="11"/>
        <v>0</v>
      </c>
      <c r="P95" s="108">
        <f t="shared" si="11"/>
        <v>0</v>
      </c>
      <c r="Q95" s="108">
        <f t="shared" si="11"/>
        <v>0</v>
      </c>
      <c r="R95" s="108">
        <f t="shared" si="11"/>
        <v>0</v>
      </c>
      <c r="S95" s="225">
        <f t="shared" si="11"/>
        <v>0</v>
      </c>
      <c r="T95" s="108">
        <f t="shared" si="11"/>
        <v>0</v>
      </c>
      <c r="U95" s="108">
        <f t="shared" si="11"/>
        <v>0</v>
      </c>
      <c r="V95" s="108">
        <f t="shared" si="11"/>
        <v>0</v>
      </c>
      <c r="W95" s="225">
        <f t="shared" si="11"/>
        <v>0</v>
      </c>
      <c r="X95" s="108">
        <f t="shared" si="11"/>
        <v>0</v>
      </c>
      <c r="Y95" s="108">
        <f t="shared" si="11"/>
        <v>0</v>
      </c>
      <c r="Z95" s="108">
        <f t="shared" si="11"/>
        <v>0</v>
      </c>
      <c r="AA95" s="225">
        <f t="shared" si="11"/>
        <v>0</v>
      </c>
      <c r="AB95" s="108">
        <f t="shared" si="11"/>
        <v>0</v>
      </c>
      <c r="AC95" s="108">
        <f t="shared" si="11"/>
        <v>0</v>
      </c>
      <c r="AD95" s="108">
        <f t="shared" si="11"/>
        <v>0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0</v>
      </c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/>
      <c r="AB96" s="184"/>
      <c r="AC96" s="184"/>
      <c r="AD96" s="184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810</v>
      </c>
      <c r="L97" s="51">
        <f aca="true" t="shared" si="12" ref="L97:AD97">L23+L66+L92</f>
        <v>0</v>
      </c>
      <c r="M97" s="51">
        <f t="shared" si="12"/>
        <v>0</v>
      </c>
      <c r="N97" s="51">
        <f t="shared" si="12"/>
        <v>0</v>
      </c>
      <c r="O97" s="226">
        <f t="shared" si="12"/>
        <v>206</v>
      </c>
      <c r="P97" s="51">
        <f t="shared" si="12"/>
        <v>67</v>
      </c>
      <c r="Q97" s="51">
        <f t="shared" si="12"/>
        <v>68</v>
      </c>
      <c r="R97" s="51">
        <f t="shared" si="12"/>
        <v>71</v>
      </c>
      <c r="S97" s="226">
        <f t="shared" si="12"/>
        <v>200</v>
      </c>
      <c r="T97" s="51">
        <f t="shared" si="12"/>
        <v>65</v>
      </c>
      <c r="U97" s="51">
        <f t="shared" si="12"/>
        <v>66.5</v>
      </c>
      <c r="V97" s="51">
        <f t="shared" si="12"/>
        <v>68.5</v>
      </c>
      <c r="W97" s="226">
        <f t="shared" si="12"/>
        <v>223</v>
      </c>
      <c r="X97" s="51">
        <f t="shared" si="12"/>
        <v>66</v>
      </c>
      <c r="Y97" s="51">
        <f t="shared" si="12"/>
        <v>67.5</v>
      </c>
      <c r="Z97" s="51">
        <f t="shared" si="12"/>
        <v>89.5</v>
      </c>
      <c r="AA97" s="226">
        <f t="shared" si="12"/>
        <v>227</v>
      </c>
      <c r="AB97" s="51">
        <f t="shared" si="12"/>
        <v>67</v>
      </c>
      <c r="AC97" s="51">
        <f t="shared" si="12"/>
        <v>88.5</v>
      </c>
      <c r="AD97" s="51">
        <f t="shared" si="12"/>
        <v>120.5</v>
      </c>
    </row>
    <row r="98" spans="15:27" ht="12.75">
      <c r="O98" s="210">
        <f>SUM(P97:R97)</f>
        <v>206</v>
      </c>
      <c r="S98" s="210">
        <f>SUM(T97:V97)</f>
        <v>200</v>
      </c>
      <c r="W98" s="210">
        <f>SUM(X97:Z97)</f>
        <v>223</v>
      </c>
      <c r="AA98" s="210">
        <f>SUM(AB97:AD97)</f>
        <v>276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84">
      <pane xSplit="9120" topLeftCell="I1" activePane="topRight" state="split"/>
      <selection pane="topLeft" activeCell="A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123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2509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5">
        <f t="shared" si="0"/>
        <v>621</v>
      </c>
      <c r="P23" s="102">
        <f t="shared" si="0"/>
        <v>147</v>
      </c>
      <c r="Q23" s="102">
        <f t="shared" si="0"/>
        <v>236</v>
      </c>
      <c r="R23" s="102">
        <f t="shared" si="0"/>
        <v>238</v>
      </c>
      <c r="S23" s="215">
        <f t="shared" si="0"/>
        <v>621</v>
      </c>
      <c r="T23" s="102">
        <f t="shared" si="0"/>
        <v>206</v>
      </c>
      <c r="U23" s="102">
        <f t="shared" si="0"/>
        <v>206</v>
      </c>
      <c r="V23" s="102">
        <f t="shared" si="0"/>
        <v>209</v>
      </c>
      <c r="W23" s="215">
        <f t="shared" si="0"/>
        <v>629</v>
      </c>
      <c r="X23" s="102">
        <f t="shared" si="0"/>
        <v>206</v>
      </c>
      <c r="Y23" s="102">
        <f t="shared" si="0"/>
        <v>210</v>
      </c>
      <c r="Z23" s="102">
        <f t="shared" si="0"/>
        <v>213</v>
      </c>
      <c r="AA23" s="215">
        <f t="shared" si="0"/>
        <v>638</v>
      </c>
      <c r="AB23" s="102">
        <f t="shared" si="0"/>
        <v>211</v>
      </c>
      <c r="AC23" s="102">
        <f t="shared" si="0"/>
        <v>214</v>
      </c>
      <c r="AD23" s="102">
        <f t="shared" si="0"/>
        <v>213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1792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448</v>
      </c>
      <c r="P24" s="45">
        <f t="shared" si="1"/>
        <v>90</v>
      </c>
      <c r="Q24" s="45">
        <f t="shared" si="1"/>
        <v>179</v>
      </c>
      <c r="R24" s="45">
        <f t="shared" si="1"/>
        <v>179</v>
      </c>
      <c r="S24" s="216">
        <f t="shared" si="1"/>
        <v>448</v>
      </c>
      <c r="T24" s="45">
        <f t="shared" si="1"/>
        <v>149</v>
      </c>
      <c r="U24" s="45">
        <f t="shared" si="1"/>
        <v>149</v>
      </c>
      <c r="V24" s="45">
        <f t="shared" si="1"/>
        <v>150</v>
      </c>
      <c r="W24" s="216">
        <f t="shared" si="1"/>
        <v>448</v>
      </c>
      <c r="X24" s="45">
        <f t="shared" si="1"/>
        <v>149</v>
      </c>
      <c r="Y24" s="45">
        <f t="shared" si="1"/>
        <v>149</v>
      </c>
      <c r="Z24" s="45">
        <f t="shared" si="1"/>
        <v>150</v>
      </c>
      <c r="AA24" s="216">
        <f t="shared" si="1"/>
        <v>448</v>
      </c>
      <c r="AB24" s="45">
        <f t="shared" si="1"/>
        <v>149</v>
      </c>
      <c r="AC24" s="45">
        <f t="shared" si="1"/>
        <v>149</v>
      </c>
      <c r="AD24" s="45">
        <f t="shared" si="1"/>
        <v>150</v>
      </c>
      <c r="AE24" s="45"/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1792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448</v>
      </c>
      <c r="P25" s="45">
        <f t="shared" si="2"/>
        <v>90</v>
      </c>
      <c r="Q25" s="45">
        <f t="shared" si="2"/>
        <v>179</v>
      </c>
      <c r="R25" s="45">
        <f t="shared" si="2"/>
        <v>179</v>
      </c>
      <c r="S25" s="216">
        <f t="shared" si="2"/>
        <v>448</v>
      </c>
      <c r="T25" s="45">
        <f t="shared" si="2"/>
        <v>149</v>
      </c>
      <c r="U25" s="45">
        <f t="shared" si="2"/>
        <v>149</v>
      </c>
      <c r="V25" s="45">
        <f t="shared" si="2"/>
        <v>150</v>
      </c>
      <c r="W25" s="216">
        <f t="shared" si="2"/>
        <v>448</v>
      </c>
      <c r="X25" s="45">
        <f t="shared" si="2"/>
        <v>149</v>
      </c>
      <c r="Y25" s="45">
        <f t="shared" si="2"/>
        <v>149</v>
      </c>
      <c r="Z25" s="45">
        <f t="shared" si="2"/>
        <v>150</v>
      </c>
      <c r="AA25" s="216">
        <f t="shared" si="2"/>
        <v>448</v>
      </c>
      <c r="AB25" s="45">
        <f t="shared" si="2"/>
        <v>149</v>
      </c>
      <c r="AC25" s="45">
        <f t="shared" si="2"/>
        <v>149</v>
      </c>
      <c r="AD25" s="45">
        <f t="shared" si="2"/>
        <v>150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1792</v>
      </c>
      <c r="O27" s="214">
        <v>448</v>
      </c>
      <c r="P27" s="184">
        <v>90</v>
      </c>
      <c r="Q27" s="184">
        <v>179</v>
      </c>
      <c r="R27" s="184">
        <v>179</v>
      </c>
      <c r="S27" s="214">
        <v>448</v>
      </c>
      <c r="T27" s="184">
        <v>149</v>
      </c>
      <c r="U27" s="184">
        <v>149</v>
      </c>
      <c r="V27" s="184">
        <v>150</v>
      </c>
      <c r="W27" s="214">
        <v>448</v>
      </c>
      <c r="X27" s="184">
        <v>149</v>
      </c>
      <c r="Y27" s="184">
        <v>149</v>
      </c>
      <c r="Z27" s="184">
        <v>150</v>
      </c>
      <c r="AA27" s="214">
        <v>448</v>
      </c>
      <c r="AB27" s="184">
        <v>149</v>
      </c>
      <c r="AC27" s="184">
        <v>149</v>
      </c>
      <c r="AD27" s="184">
        <v>150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1792</v>
      </c>
      <c r="O28" s="214">
        <f>1792/4</f>
        <v>448</v>
      </c>
      <c r="P28" s="184">
        <v>90</v>
      </c>
      <c r="Q28" s="184">
        <v>179</v>
      </c>
      <c r="R28" s="184">
        <v>179</v>
      </c>
      <c r="S28" s="214">
        <v>448</v>
      </c>
      <c r="T28" s="184">
        <v>149</v>
      </c>
      <c r="U28" s="184">
        <v>149</v>
      </c>
      <c r="V28" s="184">
        <v>150</v>
      </c>
      <c r="W28" s="214">
        <v>448</v>
      </c>
      <c r="X28" s="184">
        <v>149</v>
      </c>
      <c r="Y28" s="184">
        <v>149</v>
      </c>
      <c r="Z28" s="184">
        <v>150</v>
      </c>
      <c r="AA28" s="214">
        <v>448</v>
      </c>
      <c r="AB28" s="184">
        <v>149</v>
      </c>
      <c r="AC28" s="184">
        <v>149</v>
      </c>
      <c r="AD28" s="184">
        <v>150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24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8</v>
      </c>
      <c r="X34" s="43">
        <f t="shared" si="3"/>
        <v>0</v>
      </c>
      <c r="Y34" s="43">
        <f t="shared" si="3"/>
        <v>4</v>
      </c>
      <c r="Z34" s="43">
        <f t="shared" si="3"/>
        <v>4</v>
      </c>
      <c r="AA34" s="219">
        <f t="shared" si="3"/>
        <v>16</v>
      </c>
      <c r="AB34" s="43">
        <f t="shared" si="3"/>
        <v>5</v>
      </c>
      <c r="AC34" s="43">
        <f t="shared" si="3"/>
        <v>7</v>
      </c>
      <c r="AD34" s="43">
        <f t="shared" si="3"/>
        <v>4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24</v>
      </c>
      <c r="O35" s="214"/>
      <c r="P35" s="184"/>
      <c r="Q35" s="184"/>
      <c r="R35" s="184"/>
      <c r="S35" s="214"/>
      <c r="T35" s="184"/>
      <c r="U35" s="184"/>
      <c r="V35" s="184"/>
      <c r="W35" s="214">
        <f>24/3</f>
        <v>8</v>
      </c>
      <c r="X35" s="184"/>
      <c r="Y35" s="184">
        <v>4</v>
      </c>
      <c r="Z35" s="184">
        <v>4</v>
      </c>
      <c r="AA35" s="214">
        <f>24-8</f>
        <v>16</v>
      </c>
      <c r="AB35" s="184">
        <v>5</v>
      </c>
      <c r="AC35" s="184">
        <v>7</v>
      </c>
      <c r="AD35" s="184">
        <v>4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K43+K44+K45+K46</f>
        <v>0</v>
      </c>
      <c r="L41" s="124">
        <f>L43+L44+L45+L46</f>
        <v>0</v>
      </c>
      <c r="M41" s="124">
        <f>M43+M44+M45+M46</f>
        <v>0</v>
      </c>
      <c r="N41" s="124">
        <f>N43+N44+N45+N46</f>
        <v>0</v>
      </c>
      <c r="O41" s="270">
        <f>O43+O44+O45+O46</f>
        <v>0</v>
      </c>
      <c r="P41" s="124"/>
      <c r="Q41" s="124"/>
      <c r="R41" s="124"/>
      <c r="S41" s="270">
        <f>S43+S44+S45+S46</f>
        <v>0</v>
      </c>
      <c r="T41" s="124"/>
      <c r="U41" s="124"/>
      <c r="V41" s="124"/>
      <c r="W41" s="270">
        <f>W43+W44+W45+W46</f>
        <v>0</v>
      </c>
      <c r="X41" s="124"/>
      <c r="Y41" s="124"/>
      <c r="Z41" s="124"/>
      <c r="AA41" s="270">
        <f>AA43+AA44+AA45+AA46</f>
        <v>0</v>
      </c>
      <c r="AB41" s="124"/>
      <c r="AC41" s="124"/>
      <c r="AD41" s="124"/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693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19">
        <f t="shared" si="4"/>
        <v>173</v>
      </c>
      <c r="P47" s="43">
        <f t="shared" si="4"/>
        <v>57</v>
      </c>
      <c r="Q47" s="43">
        <f t="shared" si="4"/>
        <v>57</v>
      </c>
      <c r="R47" s="43">
        <f t="shared" si="4"/>
        <v>59</v>
      </c>
      <c r="S47" s="219">
        <f t="shared" si="4"/>
        <v>173</v>
      </c>
      <c r="T47" s="43">
        <f t="shared" si="4"/>
        <v>57</v>
      </c>
      <c r="U47" s="43">
        <f t="shared" si="4"/>
        <v>57</v>
      </c>
      <c r="V47" s="43">
        <f t="shared" si="4"/>
        <v>59</v>
      </c>
      <c r="W47" s="219">
        <f t="shared" si="4"/>
        <v>173</v>
      </c>
      <c r="X47" s="43">
        <f t="shared" si="4"/>
        <v>57</v>
      </c>
      <c r="Y47" s="43">
        <f t="shared" si="4"/>
        <v>57</v>
      </c>
      <c r="Z47" s="43">
        <f t="shared" si="4"/>
        <v>59</v>
      </c>
      <c r="AA47" s="219">
        <f t="shared" si="4"/>
        <v>174</v>
      </c>
      <c r="AB47" s="43">
        <f t="shared" si="4"/>
        <v>57</v>
      </c>
      <c r="AC47" s="43">
        <f t="shared" si="4"/>
        <v>58</v>
      </c>
      <c r="AD47" s="43">
        <f t="shared" si="4"/>
        <v>59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44">
        <f>K50</f>
        <v>609</v>
      </c>
      <c r="L49" s="144">
        <f>L50</f>
        <v>0</v>
      </c>
      <c r="M49" s="144">
        <f>M50</f>
        <v>0</v>
      </c>
      <c r="N49" s="144">
        <f>N50</f>
        <v>0</v>
      </c>
      <c r="O49" s="223">
        <f>O50</f>
        <v>152</v>
      </c>
      <c r="P49" s="144">
        <v>50</v>
      </c>
      <c r="Q49" s="144">
        <v>50</v>
      </c>
      <c r="R49" s="144">
        <v>52</v>
      </c>
      <c r="S49" s="223">
        <f>S50</f>
        <v>152</v>
      </c>
      <c r="T49" s="144">
        <v>50</v>
      </c>
      <c r="U49" s="144">
        <v>50</v>
      </c>
      <c r="V49" s="144">
        <v>52</v>
      </c>
      <c r="W49" s="223">
        <f>W50</f>
        <v>152</v>
      </c>
      <c r="X49" s="144">
        <v>50</v>
      </c>
      <c r="Y49" s="144">
        <v>50</v>
      </c>
      <c r="Z49" s="144">
        <v>52</v>
      </c>
      <c r="AA49" s="223">
        <f>AA50</f>
        <v>153</v>
      </c>
      <c r="AB49" s="144">
        <v>50</v>
      </c>
      <c r="AC49" s="144">
        <v>51</v>
      </c>
      <c r="AD49" s="144">
        <v>52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609</v>
      </c>
      <c r="O50" s="214">
        <v>152</v>
      </c>
      <c r="P50" s="184">
        <v>50</v>
      </c>
      <c r="Q50" s="184">
        <v>50</v>
      </c>
      <c r="R50" s="184">
        <v>52</v>
      </c>
      <c r="S50" s="214">
        <v>152</v>
      </c>
      <c r="T50" s="184">
        <v>50</v>
      </c>
      <c r="U50" s="184">
        <v>50</v>
      </c>
      <c r="V50" s="184">
        <v>52</v>
      </c>
      <c r="W50" s="214">
        <v>152</v>
      </c>
      <c r="X50" s="184">
        <v>50</v>
      </c>
      <c r="Y50" s="184">
        <v>50</v>
      </c>
      <c r="Z50" s="184">
        <v>52</v>
      </c>
      <c r="AA50" s="214">
        <f>K50-O50-S50-W50</f>
        <v>153</v>
      </c>
      <c r="AB50" s="184">
        <v>50</v>
      </c>
      <c r="AC50" s="184">
        <v>51</v>
      </c>
      <c r="AD50" s="184">
        <v>52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84</v>
      </c>
      <c r="L53" s="121">
        <f aca="true" t="shared" si="5" ref="L53:AD53">L54</f>
        <v>0</v>
      </c>
      <c r="M53" s="121">
        <f t="shared" si="5"/>
        <v>0</v>
      </c>
      <c r="N53" s="121">
        <f t="shared" si="5"/>
        <v>0</v>
      </c>
      <c r="O53" s="222">
        <f t="shared" si="5"/>
        <v>21</v>
      </c>
      <c r="P53" s="121">
        <f t="shared" si="5"/>
        <v>7</v>
      </c>
      <c r="Q53" s="121">
        <f t="shared" si="5"/>
        <v>7</v>
      </c>
      <c r="R53" s="121">
        <f t="shared" si="5"/>
        <v>7</v>
      </c>
      <c r="S53" s="222">
        <f t="shared" si="5"/>
        <v>21</v>
      </c>
      <c r="T53" s="121">
        <f t="shared" si="5"/>
        <v>7</v>
      </c>
      <c r="U53" s="121">
        <f t="shared" si="5"/>
        <v>7</v>
      </c>
      <c r="V53" s="121">
        <f t="shared" si="5"/>
        <v>7</v>
      </c>
      <c r="W53" s="222">
        <f t="shared" si="5"/>
        <v>21</v>
      </c>
      <c r="X53" s="121">
        <f t="shared" si="5"/>
        <v>7</v>
      </c>
      <c r="Y53" s="121">
        <f t="shared" si="5"/>
        <v>7</v>
      </c>
      <c r="Z53" s="121">
        <f t="shared" si="5"/>
        <v>7</v>
      </c>
      <c r="AA53" s="222">
        <f t="shared" si="5"/>
        <v>21</v>
      </c>
      <c r="AB53" s="121">
        <f t="shared" si="5"/>
        <v>7</v>
      </c>
      <c r="AC53" s="121">
        <f t="shared" si="5"/>
        <v>7</v>
      </c>
      <c r="AD53" s="121">
        <f t="shared" si="5"/>
        <v>7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84</v>
      </c>
      <c r="O54" s="214">
        <v>21</v>
      </c>
      <c r="P54" s="184">
        <v>7</v>
      </c>
      <c r="Q54" s="184">
        <v>7</v>
      </c>
      <c r="R54" s="184">
        <v>7</v>
      </c>
      <c r="S54" s="214">
        <v>21</v>
      </c>
      <c r="T54" s="184">
        <v>7</v>
      </c>
      <c r="U54" s="184">
        <v>7</v>
      </c>
      <c r="V54" s="184">
        <v>7</v>
      </c>
      <c r="W54" s="214">
        <v>21</v>
      </c>
      <c r="X54" s="184">
        <v>7</v>
      </c>
      <c r="Y54" s="184">
        <v>7</v>
      </c>
      <c r="Z54" s="184">
        <v>7</v>
      </c>
      <c r="AA54" s="214">
        <v>21</v>
      </c>
      <c r="AB54" s="184">
        <v>7</v>
      </c>
      <c r="AC54" s="184">
        <v>7</v>
      </c>
      <c r="AD54" s="184">
        <v>7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v>0</v>
      </c>
      <c r="L61" s="68">
        <v>0</v>
      </c>
      <c r="M61" s="68">
        <v>0</v>
      </c>
      <c r="N61" s="68">
        <v>0</v>
      </c>
      <c r="O61" s="224"/>
      <c r="P61" s="68"/>
      <c r="Q61" s="68"/>
      <c r="R61" s="68"/>
      <c r="S61" s="224"/>
      <c r="T61" s="68"/>
      <c r="U61" s="68"/>
      <c r="V61" s="68"/>
      <c r="W61" s="224"/>
      <c r="X61" s="68"/>
      <c r="Y61" s="68"/>
      <c r="Z61" s="68"/>
      <c r="AA61" s="224"/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68"/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698</v>
      </c>
      <c r="L66" s="43">
        <f aca="true" t="shared" si="6" ref="L66:AD66">L68+L71+L72+L83+L90+L91</f>
        <v>0</v>
      </c>
      <c r="M66" s="43">
        <f t="shared" si="6"/>
        <v>0</v>
      </c>
      <c r="N66" s="43">
        <f t="shared" si="6"/>
        <v>0</v>
      </c>
      <c r="O66" s="219">
        <f t="shared" si="6"/>
        <v>174</v>
      </c>
      <c r="P66" s="43">
        <f t="shared" si="6"/>
        <v>58</v>
      </c>
      <c r="Q66" s="43">
        <f t="shared" si="6"/>
        <v>58</v>
      </c>
      <c r="R66" s="43">
        <f t="shared" si="6"/>
        <v>58</v>
      </c>
      <c r="S66" s="219">
        <f t="shared" si="6"/>
        <v>174</v>
      </c>
      <c r="T66" s="43">
        <f t="shared" si="6"/>
        <v>58</v>
      </c>
      <c r="U66" s="43">
        <f t="shared" si="6"/>
        <v>58</v>
      </c>
      <c r="V66" s="43">
        <f t="shared" si="6"/>
        <v>58</v>
      </c>
      <c r="W66" s="219">
        <f t="shared" si="6"/>
        <v>175</v>
      </c>
      <c r="X66" s="43">
        <f t="shared" si="6"/>
        <v>58</v>
      </c>
      <c r="Y66" s="43">
        <f t="shared" si="6"/>
        <v>58</v>
      </c>
      <c r="Z66" s="43">
        <f t="shared" si="6"/>
        <v>59</v>
      </c>
      <c r="AA66" s="219">
        <f t="shared" si="6"/>
        <v>175</v>
      </c>
      <c r="AB66" s="43">
        <f t="shared" si="6"/>
        <v>58</v>
      </c>
      <c r="AC66" s="43">
        <f t="shared" si="6"/>
        <v>58</v>
      </c>
      <c r="AD66" s="43">
        <f t="shared" si="6"/>
        <v>59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674</v>
      </c>
      <c r="L68" s="45">
        <f aca="true" t="shared" si="7" ref="L68:AD68">L69+L70+L71</f>
        <v>0</v>
      </c>
      <c r="M68" s="45">
        <f t="shared" si="7"/>
        <v>0</v>
      </c>
      <c r="N68" s="45">
        <f t="shared" si="7"/>
        <v>0</v>
      </c>
      <c r="O68" s="216">
        <f t="shared" si="7"/>
        <v>168</v>
      </c>
      <c r="P68" s="45">
        <f t="shared" si="7"/>
        <v>56</v>
      </c>
      <c r="Q68" s="45">
        <f t="shared" si="7"/>
        <v>56</v>
      </c>
      <c r="R68" s="45">
        <f t="shared" si="7"/>
        <v>56</v>
      </c>
      <c r="S68" s="216">
        <f t="shared" si="7"/>
        <v>168</v>
      </c>
      <c r="T68" s="45">
        <f t="shared" si="7"/>
        <v>56</v>
      </c>
      <c r="U68" s="45">
        <f t="shared" si="7"/>
        <v>56</v>
      </c>
      <c r="V68" s="45">
        <f t="shared" si="7"/>
        <v>56</v>
      </c>
      <c r="W68" s="216">
        <f t="shared" si="7"/>
        <v>169</v>
      </c>
      <c r="X68" s="45">
        <f t="shared" si="7"/>
        <v>56</v>
      </c>
      <c r="Y68" s="45">
        <f t="shared" si="7"/>
        <v>56</v>
      </c>
      <c r="Z68" s="45">
        <f t="shared" si="7"/>
        <v>57</v>
      </c>
      <c r="AA68" s="216">
        <f t="shared" si="7"/>
        <v>169</v>
      </c>
      <c r="AB68" s="45">
        <f t="shared" si="7"/>
        <v>56</v>
      </c>
      <c r="AC68" s="45">
        <f t="shared" si="7"/>
        <v>56</v>
      </c>
      <c r="AD68" s="45">
        <f t="shared" si="7"/>
        <v>57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674</v>
      </c>
      <c r="O69" s="214">
        <v>168</v>
      </c>
      <c r="P69" s="184">
        <v>56</v>
      </c>
      <c r="Q69" s="184">
        <v>56</v>
      </c>
      <c r="R69" s="184">
        <v>56</v>
      </c>
      <c r="S69" s="214">
        <v>168</v>
      </c>
      <c r="T69" s="184">
        <v>56</v>
      </c>
      <c r="U69" s="184">
        <v>56</v>
      </c>
      <c r="V69" s="184">
        <v>56</v>
      </c>
      <c r="W69" s="214">
        <v>169</v>
      </c>
      <c r="X69" s="184">
        <v>56</v>
      </c>
      <c r="Y69" s="184">
        <v>56</v>
      </c>
      <c r="Z69" s="184">
        <v>57</v>
      </c>
      <c r="AA69" s="214">
        <v>169</v>
      </c>
      <c r="AB69" s="184">
        <v>56</v>
      </c>
      <c r="AC69" s="184">
        <v>56</v>
      </c>
      <c r="AD69" s="184">
        <v>57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44">
        <v>0</v>
      </c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44">
        <v>0</v>
      </c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24</v>
      </c>
      <c r="O90" s="214">
        <f>K90/4</f>
        <v>6</v>
      </c>
      <c r="P90" s="184">
        <v>2</v>
      </c>
      <c r="Q90" s="184">
        <v>2</v>
      </c>
      <c r="R90" s="184">
        <v>2</v>
      </c>
      <c r="S90" s="214">
        <v>6</v>
      </c>
      <c r="T90" s="184">
        <v>2</v>
      </c>
      <c r="U90" s="184">
        <v>2</v>
      </c>
      <c r="V90" s="184">
        <v>2</v>
      </c>
      <c r="W90" s="214">
        <v>6</v>
      </c>
      <c r="X90" s="184">
        <v>2</v>
      </c>
      <c r="Y90" s="184">
        <v>2</v>
      </c>
      <c r="Z90" s="184">
        <v>2</v>
      </c>
      <c r="AA90" s="214">
        <v>6</v>
      </c>
      <c r="AB90" s="184">
        <v>2</v>
      </c>
      <c r="AC90" s="184">
        <v>2</v>
      </c>
      <c r="AD90" s="184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87</v>
      </c>
      <c r="L92" s="43">
        <f aca="true" t="shared" si="8" ref="L92:AD92">L94+L96</f>
        <v>0</v>
      </c>
      <c r="M92" s="43">
        <f t="shared" si="8"/>
        <v>0</v>
      </c>
      <c r="N92" s="43">
        <f t="shared" si="8"/>
        <v>0</v>
      </c>
      <c r="O92" s="219">
        <f t="shared" si="8"/>
        <v>21</v>
      </c>
      <c r="P92" s="43">
        <f t="shared" si="8"/>
        <v>6</v>
      </c>
      <c r="Q92" s="43">
        <f t="shared" si="8"/>
        <v>7</v>
      </c>
      <c r="R92" s="43">
        <f t="shared" si="8"/>
        <v>8</v>
      </c>
      <c r="S92" s="219">
        <f t="shared" si="8"/>
        <v>22</v>
      </c>
      <c r="T92" s="43">
        <f t="shared" si="8"/>
        <v>7</v>
      </c>
      <c r="U92" s="43">
        <f t="shared" si="8"/>
        <v>7</v>
      </c>
      <c r="V92" s="43">
        <f t="shared" si="8"/>
        <v>8</v>
      </c>
      <c r="W92" s="219">
        <f t="shared" si="8"/>
        <v>21</v>
      </c>
      <c r="X92" s="43">
        <f t="shared" si="8"/>
        <v>6</v>
      </c>
      <c r="Y92" s="43">
        <f t="shared" si="8"/>
        <v>7</v>
      </c>
      <c r="Z92" s="43">
        <f t="shared" si="8"/>
        <v>8</v>
      </c>
      <c r="AA92" s="219">
        <f t="shared" si="8"/>
        <v>23</v>
      </c>
      <c r="AB92" s="43">
        <f t="shared" si="8"/>
        <v>7</v>
      </c>
      <c r="AC92" s="43">
        <f t="shared" si="8"/>
        <v>8</v>
      </c>
      <c r="AD92" s="43">
        <f t="shared" si="8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34</v>
      </c>
      <c r="L93" s="108">
        <f aca="true" t="shared" si="9" ref="L93:AD93">L94</f>
        <v>0</v>
      </c>
      <c r="M93" s="108">
        <f t="shared" si="9"/>
        <v>0</v>
      </c>
      <c r="N93" s="108">
        <f t="shared" si="9"/>
        <v>0</v>
      </c>
      <c r="O93" s="225">
        <f t="shared" si="9"/>
        <v>8</v>
      </c>
      <c r="P93" s="108">
        <f t="shared" si="9"/>
        <v>2</v>
      </c>
      <c r="Q93" s="108">
        <f t="shared" si="9"/>
        <v>3</v>
      </c>
      <c r="R93" s="108">
        <f t="shared" si="9"/>
        <v>3</v>
      </c>
      <c r="S93" s="225">
        <f t="shared" si="9"/>
        <v>9</v>
      </c>
      <c r="T93" s="108">
        <f t="shared" si="9"/>
        <v>3</v>
      </c>
      <c r="U93" s="108">
        <f t="shared" si="9"/>
        <v>3</v>
      </c>
      <c r="V93" s="108">
        <f t="shared" si="9"/>
        <v>3</v>
      </c>
      <c r="W93" s="225">
        <f t="shared" si="9"/>
        <v>8</v>
      </c>
      <c r="X93" s="108">
        <f t="shared" si="9"/>
        <v>2</v>
      </c>
      <c r="Y93" s="108">
        <f t="shared" si="9"/>
        <v>3</v>
      </c>
      <c r="Z93" s="108">
        <f t="shared" si="9"/>
        <v>3</v>
      </c>
      <c r="AA93" s="225">
        <f t="shared" si="9"/>
        <v>9</v>
      </c>
      <c r="AB93" s="108">
        <f t="shared" si="9"/>
        <v>3</v>
      </c>
      <c r="AC93" s="108">
        <f t="shared" si="9"/>
        <v>3</v>
      </c>
      <c r="AD93" s="108">
        <f t="shared" si="9"/>
        <v>3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34</v>
      </c>
      <c r="O94" s="214">
        <v>8</v>
      </c>
      <c r="P94" s="184">
        <v>2</v>
      </c>
      <c r="Q94" s="184">
        <v>3</v>
      </c>
      <c r="R94" s="184">
        <v>3</v>
      </c>
      <c r="S94" s="214">
        <v>9</v>
      </c>
      <c r="T94" s="184">
        <v>3</v>
      </c>
      <c r="U94" s="184">
        <v>3</v>
      </c>
      <c r="V94" s="184">
        <v>3</v>
      </c>
      <c r="W94" s="214">
        <v>8</v>
      </c>
      <c r="X94" s="184">
        <v>2</v>
      </c>
      <c r="Y94" s="184">
        <v>3</v>
      </c>
      <c r="Z94" s="184">
        <v>3</v>
      </c>
      <c r="AA94" s="214">
        <v>9</v>
      </c>
      <c r="AB94" s="184">
        <v>3</v>
      </c>
      <c r="AC94" s="184">
        <v>3</v>
      </c>
      <c r="AD94" s="184">
        <v>3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53</v>
      </c>
      <c r="L95" s="108">
        <f aca="true" t="shared" si="10" ref="L95:AD95">L96</f>
        <v>0</v>
      </c>
      <c r="M95" s="108">
        <f t="shared" si="10"/>
        <v>0</v>
      </c>
      <c r="N95" s="108">
        <f t="shared" si="10"/>
        <v>0</v>
      </c>
      <c r="O95" s="225">
        <f t="shared" si="10"/>
        <v>13</v>
      </c>
      <c r="P95" s="108">
        <f t="shared" si="10"/>
        <v>4</v>
      </c>
      <c r="Q95" s="108">
        <f t="shared" si="10"/>
        <v>4</v>
      </c>
      <c r="R95" s="108">
        <f t="shared" si="10"/>
        <v>5</v>
      </c>
      <c r="S95" s="225">
        <f t="shared" si="10"/>
        <v>13</v>
      </c>
      <c r="T95" s="108">
        <f t="shared" si="10"/>
        <v>4</v>
      </c>
      <c r="U95" s="108">
        <f t="shared" si="10"/>
        <v>4</v>
      </c>
      <c r="V95" s="108">
        <f t="shared" si="10"/>
        <v>5</v>
      </c>
      <c r="W95" s="225">
        <f t="shared" si="10"/>
        <v>13</v>
      </c>
      <c r="X95" s="108">
        <f t="shared" si="10"/>
        <v>4</v>
      </c>
      <c r="Y95" s="108">
        <f t="shared" si="10"/>
        <v>4</v>
      </c>
      <c r="Z95" s="108">
        <f t="shared" si="10"/>
        <v>5</v>
      </c>
      <c r="AA95" s="225">
        <f t="shared" si="10"/>
        <v>14</v>
      </c>
      <c r="AB95" s="108">
        <f t="shared" si="10"/>
        <v>4</v>
      </c>
      <c r="AC95" s="108">
        <f t="shared" si="10"/>
        <v>5</v>
      </c>
      <c r="AD95" s="108">
        <f t="shared" si="10"/>
        <v>5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53</v>
      </c>
      <c r="O96" s="214">
        <v>13</v>
      </c>
      <c r="P96" s="184">
        <v>4</v>
      </c>
      <c r="Q96" s="184">
        <v>4</v>
      </c>
      <c r="R96" s="184">
        <v>5</v>
      </c>
      <c r="S96" s="214">
        <v>13</v>
      </c>
      <c r="T96" s="184">
        <v>4</v>
      </c>
      <c r="U96" s="184">
        <v>4</v>
      </c>
      <c r="V96" s="184">
        <v>5</v>
      </c>
      <c r="W96" s="214">
        <v>13</v>
      </c>
      <c r="X96" s="184">
        <v>4</v>
      </c>
      <c r="Y96" s="184">
        <v>4</v>
      </c>
      <c r="Z96" s="184">
        <v>5</v>
      </c>
      <c r="AA96" s="214">
        <v>14</v>
      </c>
      <c r="AB96" s="184">
        <v>4</v>
      </c>
      <c r="AC96" s="184">
        <v>5</v>
      </c>
      <c r="AD96" s="184">
        <v>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3294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6">
        <f t="shared" si="11"/>
        <v>816</v>
      </c>
      <c r="P97" s="51">
        <f t="shared" si="11"/>
        <v>211</v>
      </c>
      <c r="Q97" s="51">
        <f t="shared" si="11"/>
        <v>301</v>
      </c>
      <c r="R97" s="51">
        <f t="shared" si="11"/>
        <v>304</v>
      </c>
      <c r="S97" s="226">
        <f t="shared" si="11"/>
        <v>817</v>
      </c>
      <c r="T97" s="51">
        <f t="shared" si="11"/>
        <v>271</v>
      </c>
      <c r="U97" s="51">
        <f t="shared" si="11"/>
        <v>271</v>
      </c>
      <c r="V97" s="51">
        <f t="shared" si="11"/>
        <v>275</v>
      </c>
      <c r="W97" s="226">
        <f t="shared" si="11"/>
        <v>825</v>
      </c>
      <c r="X97" s="51">
        <f t="shared" si="11"/>
        <v>270</v>
      </c>
      <c r="Y97" s="51">
        <f t="shared" si="11"/>
        <v>275</v>
      </c>
      <c r="Z97" s="51">
        <f t="shared" si="11"/>
        <v>280</v>
      </c>
      <c r="AA97" s="226">
        <f t="shared" si="11"/>
        <v>836</v>
      </c>
      <c r="AB97" s="51">
        <f t="shared" si="11"/>
        <v>276</v>
      </c>
      <c r="AC97" s="51">
        <f t="shared" si="11"/>
        <v>280</v>
      </c>
      <c r="AD97" s="51">
        <f t="shared" si="11"/>
        <v>280</v>
      </c>
    </row>
    <row r="98" spans="15:27" ht="12.75">
      <c r="O98" s="210">
        <f>SUM(P97:R97)</f>
        <v>816</v>
      </c>
      <c r="S98" s="210">
        <f>SUM(T97:V97)</f>
        <v>817</v>
      </c>
      <c r="W98" s="210">
        <f>SUM(X97:Z97)</f>
        <v>825</v>
      </c>
      <c r="AA98" s="210">
        <f>SUM(AB97:AD97)</f>
        <v>836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6645" topLeftCell="S1" activePane="topRight" state="split"/>
      <selection pane="topLeft" activeCell="A84" sqref="A84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124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1189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5">
        <f>O24+O31+O34+O38+O41+O47+O55+O64+O65+O61</f>
        <v>275</v>
      </c>
      <c r="P23" s="102">
        <f>P24+P31+P34+P38+P41+P47+P55+P64+P65+P61</f>
        <v>55</v>
      </c>
      <c r="Q23" s="102">
        <f t="shared" si="0"/>
        <v>109.5</v>
      </c>
      <c r="R23" s="102">
        <f t="shared" si="0"/>
        <v>110.5</v>
      </c>
      <c r="S23" s="215">
        <f t="shared" si="0"/>
        <v>306</v>
      </c>
      <c r="T23" s="102">
        <f t="shared" si="0"/>
        <v>122</v>
      </c>
      <c r="U23" s="102">
        <f t="shared" si="0"/>
        <v>91.5</v>
      </c>
      <c r="V23" s="102">
        <f t="shared" si="0"/>
        <v>92.5</v>
      </c>
      <c r="W23" s="215">
        <f t="shared" si="0"/>
        <v>300</v>
      </c>
      <c r="X23" s="102">
        <f t="shared" si="0"/>
        <v>91</v>
      </c>
      <c r="Y23" s="102">
        <f t="shared" si="0"/>
        <v>93.5</v>
      </c>
      <c r="Z23" s="102">
        <f t="shared" si="0"/>
        <v>115.5</v>
      </c>
      <c r="AA23" s="215">
        <f t="shared" si="0"/>
        <v>308</v>
      </c>
      <c r="AB23" s="102">
        <f t="shared" si="0"/>
        <v>95.5</v>
      </c>
      <c r="AC23" s="102">
        <f t="shared" si="0"/>
        <v>96.5</v>
      </c>
      <c r="AD23" s="102">
        <f t="shared" si="0"/>
        <v>116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1081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270</v>
      </c>
      <c r="P24" s="45">
        <f t="shared" si="1"/>
        <v>54</v>
      </c>
      <c r="Q24" s="45">
        <f t="shared" si="1"/>
        <v>108</v>
      </c>
      <c r="R24" s="45">
        <f t="shared" si="1"/>
        <v>108</v>
      </c>
      <c r="S24" s="216">
        <f t="shared" si="1"/>
        <v>270</v>
      </c>
      <c r="T24" s="45">
        <f t="shared" si="1"/>
        <v>90</v>
      </c>
      <c r="U24" s="45">
        <f t="shared" si="1"/>
        <v>90</v>
      </c>
      <c r="V24" s="45">
        <f t="shared" si="1"/>
        <v>90</v>
      </c>
      <c r="W24" s="216">
        <f t="shared" si="1"/>
        <v>270</v>
      </c>
      <c r="X24" s="45">
        <f t="shared" si="1"/>
        <v>90</v>
      </c>
      <c r="Y24" s="45">
        <f t="shared" si="1"/>
        <v>90</v>
      </c>
      <c r="Z24" s="45">
        <f t="shared" si="1"/>
        <v>90</v>
      </c>
      <c r="AA24" s="216">
        <f t="shared" si="1"/>
        <v>271</v>
      </c>
      <c r="AB24" s="45">
        <f t="shared" si="1"/>
        <v>90</v>
      </c>
      <c r="AC24" s="45">
        <f t="shared" si="1"/>
        <v>90</v>
      </c>
      <c r="AD24" s="45">
        <f t="shared" si="1"/>
        <v>91</v>
      </c>
    </row>
    <row r="25" spans="1:30" ht="13.5" customHeigh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1081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270</v>
      </c>
      <c r="P25" s="45">
        <f t="shared" si="2"/>
        <v>54</v>
      </c>
      <c r="Q25" s="45">
        <f t="shared" si="2"/>
        <v>108</v>
      </c>
      <c r="R25" s="45">
        <f t="shared" si="2"/>
        <v>108</v>
      </c>
      <c r="S25" s="216">
        <f t="shared" si="2"/>
        <v>270</v>
      </c>
      <c r="T25" s="45">
        <f t="shared" si="2"/>
        <v>90</v>
      </c>
      <c r="U25" s="45">
        <f t="shared" si="2"/>
        <v>90</v>
      </c>
      <c r="V25" s="45">
        <f t="shared" si="2"/>
        <v>90</v>
      </c>
      <c r="W25" s="216">
        <f t="shared" si="2"/>
        <v>270</v>
      </c>
      <c r="X25" s="45">
        <f t="shared" si="2"/>
        <v>90</v>
      </c>
      <c r="Y25" s="45">
        <f t="shared" si="2"/>
        <v>90</v>
      </c>
      <c r="Z25" s="45">
        <f t="shared" si="2"/>
        <v>90</v>
      </c>
      <c r="AA25" s="216">
        <f t="shared" si="2"/>
        <v>271</v>
      </c>
      <c r="AB25" s="45">
        <f t="shared" si="2"/>
        <v>90</v>
      </c>
      <c r="AC25" s="45">
        <f t="shared" si="2"/>
        <v>90</v>
      </c>
      <c r="AD25" s="45">
        <f t="shared" si="2"/>
        <v>91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207"/>
      <c r="Y26" s="207"/>
      <c r="Z26" s="207"/>
      <c r="AA26" s="237"/>
      <c r="AB26" s="207"/>
      <c r="AC26" s="207"/>
      <c r="AD26" s="207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1081</v>
      </c>
      <c r="O27" s="214">
        <v>270</v>
      </c>
      <c r="P27" s="184">
        <v>54</v>
      </c>
      <c r="Q27" s="184">
        <v>108</v>
      </c>
      <c r="R27" s="184">
        <v>108</v>
      </c>
      <c r="S27" s="214">
        <v>270</v>
      </c>
      <c r="T27" s="184">
        <v>90</v>
      </c>
      <c r="U27" s="184">
        <v>90</v>
      </c>
      <c r="V27" s="184">
        <v>90</v>
      </c>
      <c r="W27" s="214">
        <v>270</v>
      </c>
      <c r="X27" s="207">
        <v>90</v>
      </c>
      <c r="Y27" s="207">
        <v>90</v>
      </c>
      <c r="Z27" s="207">
        <v>90</v>
      </c>
      <c r="AA27" s="237">
        <v>271</v>
      </c>
      <c r="AB27" s="207">
        <v>90</v>
      </c>
      <c r="AC27" s="207">
        <v>90</v>
      </c>
      <c r="AD27" s="207">
        <v>91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1081</v>
      </c>
      <c r="O28" s="214">
        <v>270</v>
      </c>
      <c r="P28" s="184">
        <v>54</v>
      </c>
      <c r="Q28" s="184">
        <v>108</v>
      </c>
      <c r="R28" s="184">
        <v>108</v>
      </c>
      <c r="S28" s="214">
        <v>270</v>
      </c>
      <c r="T28" s="184">
        <v>90</v>
      </c>
      <c r="U28" s="184">
        <v>90</v>
      </c>
      <c r="V28" s="184">
        <v>90</v>
      </c>
      <c r="W28" s="214">
        <v>270</v>
      </c>
      <c r="X28" s="207">
        <v>90</v>
      </c>
      <c r="Y28" s="207">
        <v>90</v>
      </c>
      <c r="Z28" s="207">
        <v>90</v>
      </c>
      <c r="AA28" s="237">
        <v>271</v>
      </c>
      <c r="AB28" s="207">
        <v>90</v>
      </c>
      <c r="AC28" s="207">
        <v>90</v>
      </c>
      <c r="AD28" s="207">
        <v>91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207"/>
      <c r="Y29" s="207"/>
      <c r="Z29" s="207"/>
      <c r="AA29" s="237"/>
      <c r="AB29" s="207"/>
      <c r="AC29" s="207"/>
      <c r="AD29" s="207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207"/>
      <c r="Y30" s="207"/>
      <c r="Z30" s="207"/>
      <c r="AA30" s="237"/>
      <c r="AB30" s="207"/>
      <c r="AC30" s="207"/>
      <c r="AD30" s="207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191"/>
      <c r="Y31" s="191"/>
      <c r="Z31" s="191"/>
      <c r="AA31" s="239">
        <f>AA32+AA33</f>
        <v>0</v>
      </c>
      <c r="AB31" s="191"/>
      <c r="AC31" s="191"/>
      <c r="AD31" s="191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207"/>
      <c r="Y32" s="207"/>
      <c r="Z32" s="207"/>
      <c r="AA32" s="237"/>
      <c r="AB32" s="207"/>
      <c r="AC32" s="207"/>
      <c r="AD32" s="207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207"/>
      <c r="Y33" s="207"/>
      <c r="Z33" s="207"/>
      <c r="AA33" s="237"/>
      <c r="AB33" s="207"/>
      <c r="AC33" s="207"/>
      <c r="AD33" s="207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85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30</v>
      </c>
      <c r="T34" s="43">
        <f t="shared" si="3"/>
        <v>30</v>
      </c>
      <c r="U34" s="43">
        <f t="shared" si="3"/>
        <v>0</v>
      </c>
      <c r="V34" s="43">
        <f t="shared" si="3"/>
        <v>0</v>
      </c>
      <c r="W34" s="219">
        <f t="shared" si="3"/>
        <v>25</v>
      </c>
      <c r="X34" s="43">
        <f t="shared" si="3"/>
        <v>0</v>
      </c>
      <c r="Y34" s="43">
        <f t="shared" si="3"/>
        <v>2</v>
      </c>
      <c r="Z34" s="43">
        <f t="shared" si="3"/>
        <v>23</v>
      </c>
      <c r="AA34" s="219">
        <f t="shared" si="3"/>
        <v>30</v>
      </c>
      <c r="AB34" s="43">
        <f t="shared" si="3"/>
        <v>3</v>
      </c>
      <c r="AC34" s="43">
        <f t="shared" si="3"/>
        <v>5</v>
      </c>
      <c r="AD34" s="43">
        <f t="shared" si="3"/>
        <v>22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15</v>
      </c>
      <c r="O35" s="214"/>
      <c r="P35" s="184"/>
      <c r="Q35" s="184"/>
      <c r="R35" s="184"/>
      <c r="S35" s="214"/>
      <c r="T35" s="184"/>
      <c r="U35" s="184"/>
      <c r="V35" s="184"/>
      <c r="W35" s="214">
        <f>15/3</f>
        <v>5</v>
      </c>
      <c r="X35" s="207"/>
      <c r="Y35" s="207">
        <v>2</v>
      </c>
      <c r="Z35" s="207">
        <v>3</v>
      </c>
      <c r="AA35" s="237">
        <v>10</v>
      </c>
      <c r="AB35" s="207">
        <v>3</v>
      </c>
      <c r="AC35" s="207">
        <v>5</v>
      </c>
      <c r="AD35" s="207">
        <v>2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4"/>
      <c r="P36" s="184"/>
      <c r="Q36" s="184"/>
      <c r="R36" s="184"/>
      <c r="S36" s="214"/>
      <c r="T36" s="184"/>
      <c r="U36" s="184"/>
      <c r="V36" s="184"/>
      <c r="W36" s="214"/>
      <c r="X36" s="207"/>
      <c r="Y36" s="207"/>
      <c r="Z36" s="207"/>
      <c r="AA36" s="237"/>
      <c r="AB36" s="207"/>
      <c r="AC36" s="207"/>
      <c r="AD36" s="207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70</v>
      </c>
      <c r="O37" s="214"/>
      <c r="P37" s="184"/>
      <c r="Q37" s="184"/>
      <c r="R37" s="184"/>
      <c r="S37" s="214">
        <v>30</v>
      </c>
      <c r="T37" s="184">
        <v>30</v>
      </c>
      <c r="U37" s="184"/>
      <c r="V37" s="184"/>
      <c r="W37" s="214">
        <v>20</v>
      </c>
      <c r="X37" s="207"/>
      <c r="Y37" s="207"/>
      <c r="Z37" s="207">
        <v>20</v>
      </c>
      <c r="AA37" s="237">
        <v>20</v>
      </c>
      <c r="AB37" s="207"/>
      <c r="AC37" s="207"/>
      <c r="AD37" s="207">
        <v>20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193"/>
      <c r="Y38" s="193"/>
      <c r="Z38" s="193"/>
      <c r="AA38" s="247">
        <f>AA39+AA40</f>
        <v>0</v>
      </c>
      <c r="AB38" s="193"/>
      <c r="AC38" s="193"/>
      <c r="AD38" s="193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207"/>
      <c r="Y39" s="207"/>
      <c r="Z39" s="207"/>
      <c r="AA39" s="237"/>
      <c r="AB39" s="207"/>
      <c r="AC39" s="207"/>
      <c r="AD39" s="207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207"/>
      <c r="Y40" s="207"/>
      <c r="Z40" s="207"/>
      <c r="AA40" s="237"/>
      <c r="AB40" s="207"/>
      <c r="AC40" s="207"/>
      <c r="AD40" s="207"/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208"/>
      <c r="Y41" s="208"/>
      <c r="Z41" s="208"/>
      <c r="AA41" s="274">
        <f>AA43+AA45+AA46+AA44</f>
        <v>0</v>
      </c>
      <c r="AB41" s="208"/>
      <c r="AC41" s="208"/>
      <c r="AD41" s="208"/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207"/>
      <c r="Y42" s="207"/>
      <c r="Z42" s="207"/>
      <c r="AA42" s="237"/>
      <c r="AB42" s="207"/>
      <c r="AC42" s="207"/>
      <c r="AD42" s="207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207"/>
      <c r="Y43" s="207"/>
      <c r="Z43" s="207"/>
      <c r="AA43" s="237"/>
      <c r="AB43" s="207"/>
      <c r="AC43" s="207"/>
      <c r="AD43" s="207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207"/>
      <c r="Y44" s="207"/>
      <c r="Z44" s="207"/>
      <c r="AA44" s="237"/>
      <c r="AB44" s="207"/>
      <c r="AC44" s="207"/>
      <c r="AD44" s="207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207"/>
      <c r="Y45" s="207"/>
      <c r="Z45" s="207"/>
      <c r="AA45" s="237"/>
      <c r="AB45" s="207"/>
      <c r="AC45" s="207"/>
      <c r="AD45" s="207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207"/>
      <c r="Y46" s="207"/>
      <c r="Z46" s="207"/>
      <c r="AA46" s="237"/>
      <c r="AB46" s="207"/>
      <c r="AC46" s="207"/>
      <c r="AD46" s="207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23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19">
        <f t="shared" si="4"/>
        <v>5</v>
      </c>
      <c r="P47" s="43">
        <f t="shared" si="4"/>
        <v>1</v>
      </c>
      <c r="Q47" s="43">
        <f t="shared" si="4"/>
        <v>1.5</v>
      </c>
      <c r="R47" s="43">
        <f t="shared" si="4"/>
        <v>2.5</v>
      </c>
      <c r="S47" s="219">
        <f t="shared" si="4"/>
        <v>6</v>
      </c>
      <c r="T47" s="43">
        <f t="shared" si="4"/>
        <v>2</v>
      </c>
      <c r="U47" s="43">
        <f t="shared" si="4"/>
        <v>1.5</v>
      </c>
      <c r="V47" s="43">
        <f t="shared" si="4"/>
        <v>2.5</v>
      </c>
      <c r="W47" s="219">
        <f t="shared" si="4"/>
        <v>5</v>
      </c>
      <c r="X47" s="43">
        <f t="shared" si="4"/>
        <v>1</v>
      </c>
      <c r="Y47" s="43">
        <f t="shared" si="4"/>
        <v>1.5</v>
      </c>
      <c r="Z47" s="43">
        <f t="shared" si="4"/>
        <v>2.5</v>
      </c>
      <c r="AA47" s="219">
        <f t="shared" si="4"/>
        <v>7</v>
      </c>
      <c r="AB47" s="43">
        <f t="shared" si="4"/>
        <v>2.5</v>
      </c>
      <c r="AC47" s="43">
        <f t="shared" si="4"/>
        <v>1.5</v>
      </c>
      <c r="AD47" s="43">
        <f t="shared" si="4"/>
        <v>3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207"/>
      <c r="Y48" s="207"/>
      <c r="Z48" s="207"/>
      <c r="AA48" s="237"/>
      <c r="AB48" s="207"/>
      <c r="AC48" s="207"/>
      <c r="AD48" s="207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18</v>
      </c>
      <c r="L49" s="121">
        <f aca="true" t="shared" si="5" ref="L49:AD49">L50</f>
        <v>0</v>
      </c>
      <c r="M49" s="121">
        <f t="shared" si="5"/>
        <v>0</v>
      </c>
      <c r="N49" s="121">
        <f t="shared" si="5"/>
        <v>0</v>
      </c>
      <c r="O49" s="222">
        <f t="shared" si="5"/>
        <v>4</v>
      </c>
      <c r="P49" s="121">
        <f t="shared" si="5"/>
        <v>1</v>
      </c>
      <c r="Q49" s="121">
        <f t="shared" si="5"/>
        <v>1</v>
      </c>
      <c r="R49" s="121">
        <f t="shared" si="5"/>
        <v>2</v>
      </c>
      <c r="S49" s="222">
        <f t="shared" si="5"/>
        <v>5</v>
      </c>
      <c r="T49" s="121">
        <f t="shared" si="5"/>
        <v>2</v>
      </c>
      <c r="U49" s="121">
        <f t="shared" si="5"/>
        <v>1</v>
      </c>
      <c r="V49" s="121">
        <f t="shared" si="5"/>
        <v>2</v>
      </c>
      <c r="W49" s="222">
        <f t="shared" si="5"/>
        <v>4</v>
      </c>
      <c r="X49" s="121">
        <f t="shared" si="5"/>
        <v>1</v>
      </c>
      <c r="Y49" s="121">
        <f t="shared" si="5"/>
        <v>1</v>
      </c>
      <c r="Z49" s="121">
        <f t="shared" si="5"/>
        <v>2</v>
      </c>
      <c r="AA49" s="222">
        <f t="shared" si="5"/>
        <v>5</v>
      </c>
      <c r="AB49" s="121">
        <f t="shared" si="5"/>
        <v>2</v>
      </c>
      <c r="AC49" s="121">
        <f t="shared" si="5"/>
        <v>1</v>
      </c>
      <c r="AD49" s="121">
        <f t="shared" si="5"/>
        <v>2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18</v>
      </c>
      <c r="O50" s="214">
        <v>4</v>
      </c>
      <c r="P50" s="184">
        <v>1</v>
      </c>
      <c r="Q50" s="184">
        <v>1</v>
      </c>
      <c r="R50" s="184">
        <v>2</v>
      </c>
      <c r="S50" s="214">
        <v>5</v>
      </c>
      <c r="T50" s="184">
        <v>2</v>
      </c>
      <c r="U50" s="184">
        <v>1</v>
      </c>
      <c r="V50" s="184">
        <v>2</v>
      </c>
      <c r="W50" s="214">
        <v>4</v>
      </c>
      <c r="X50" s="207">
        <v>1</v>
      </c>
      <c r="Y50" s="207">
        <v>1</v>
      </c>
      <c r="Z50" s="207">
        <v>2</v>
      </c>
      <c r="AA50" s="237">
        <v>5</v>
      </c>
      <c r="AB50" s="207">
        <v>2</v>
      </c>
      <c r="AC50" s="207">
        <v>1</v>
      </c>
      <c r="AD50" s="207">
        <v>2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207"/>
      <c r="Y51" s="207"/>
      <c r="Z51" s="207"/>
      <c r="AA51" s="237"/>
      <c r="AB51" s="207"/>
      <c r="AC51" s="207"/>
      <c r="AD51" s="207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207"/>
      <c r="Y52" s="207"/>
      <c r="Z52" s="207"/>
      <c r="AA52" s="237"/>
      <c r="AB52" s="207"/>
      <c r="AC52" s="207"/>
      <c r="AD52" s="207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5</v>
      </c>
      <c r="L53" s="121">
        <f aca="true" t="shared" si="6" ref="L53:AD53">L54</f>
        <v>0</v>
      </c>
      <c r="M53" s="121">
        <f t="shared" si="6"/>
        <v>0</v>
      </c>
      <c r="N53" s="121">
        <f t="shared" si="6"/>
        <v>0</v>
      </c>
      <c r="O53" s="222">
        <f t="shared" si="6"/>
        <v>1</v>
      </c>
      <c r="P53" s="121">
        <f t="shared" si="6"/>
        <v>0</v>
      </c>
      <c r="Q53" s="121">
        <f t="shared" si="6"/>
        <v>0.5</v>
      </c>
      <c r="R53" s="121">
        <f t="shared" si="6"/>
        <v>0.5</v>
      </c>
      <c r="S53" s="222">
        <f t="shared" si="6"/>
        <v>1</v>
      </c>
      <c r="T53" s="121">
        <f t="shared" si="6"/>
        <v>0</v>
      </c>
      <c r="U53" s="121">
        <f t="shared" si="6"/>
        <v>0.5</v>
      </c>
      <c r="V53" s="121">
        <f t="shared" si="6"/>
        <v>0.5</v>
      </c>
      <c r="W53" s="222">
        <f t="shared" si="6"/>
        <v>1</v>
      </c>
      <c r="X53" s="121">
        <f t="shared" si="6"/>
        <v>0</v>
      </c>
      <c r="Y53" s="121">
        <f t="shared" si="6"/>
        <v>0.5</v>
      </c>
      <c r="Z53" s="121">
        <f t="shared" si="6"/>
        <v>0.5</v>
      </c>
      <c r="AA53" s="222">
        <f t="shared" si="6"/>
        <v>2</v>
      </c>
      <c r="AB53" s="121">
        <f t="shared" si="6"/>
        <v>0.5</v>
      </c>
      <c r="AC53" s="121">
        <f t="shared" si="6"/>
        <v>0.5</v>
      </c>
      <c r="AD53" s="121">
        <f t="shared" si="6"/>
        <v>1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5</v>
      </c>
      <c r="O54" s="214">
        <v>1</v>
      </c>
      <c r="P54" s="184"/>
      <c r="Q54" s="184">
        <v>0.5</v>
      </c>
      <c r="R54" s="184">
        <v>0.5</v>
      </c>
      <c r="S54" s="214">
        <v>1</v>
      </c>
      <c r="T54" s="184"/>
      <c r="U54" s="184">
        <v>0.5</v>
      </c>
      <c r="V54" s="184">
        <v>0.5</v>
      </c>
      <c r="W54" s="214">
        <v>1</v>
      </c>
      <c r="X54" s="207"/>
      <c r="Y54" s="207">
        <v>0.5</v>
      </c>
      <c r="Z54" s="207">
        <v>0.5</v>
      </c>
      <c r="AA54" s="237">
        <v>2</v>
      </c>
      <c r="AB54" s="207">
        <v>0.5</v>
      </c>
      <c r="AC54" s="207">
        <v>0.5</v>
      </c>
      <c r="AD54" s="207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191"/>
      <c r="Y55" s="191"/>
      <c r="Z55" s="191"/>
      <c r="AA55" s="239">
        <f>AA56+AA57</f>
        <v>0</v>
      </c>
      <c r="AB55" s="191"/>
      <c r="AC55" s="191"/>
      <c r="AD55" s="191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207"/>
      <c r="Y56" s="207"/>
      <c r="Z56" s="207"/>
      <c r="AA56" s="237"/>
      <c r="AB56" s="207"/>
      <c r="AC56" s="207"/>
      <c r="AD56" s="207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207"/>
      <c r="Y57" s="207"/>
      <c r="Z57" s="207"/>
      <c r="AA57" s="237"/>
      <c r="AB57" s="207"/>
      <c r="AC57" s="207"/>
      <c r="AD57" s="207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207"/>
      <c r="Y58" s="207"/>
      <c r="Z58" s="207"/>
      <c r="AA58" s="237"/>
      <c r="AB58" s="207"/>
      <c r="AC58" s="207"/>
      <c r="AD58" s="207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207"/>
      <c r="Y59" s="207"/>
      <c r="Z59" s="207"/>
      <c r="AA59" s="237"/>
      <c r="AB59" s="207"/>
      <c r="AC59" s="207"/>
      <c r="AD59" s="207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207"/>
      <c r="Y60" s="207"/>
      <c r="Z60" s="207"/>
      <c r="AA60" s="237"/>
      <c r="AB60" s="207"/>
      <c r="AC60" s="207"/>
      <c r="AD60" s="207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202"/>
      <c r="Y61" s="202"/>
      <c r="Z61" s="202"/>
      <c r="AA61" s="244">
        <f>AA62</f>
        <v>0</v>
      </c>
      <c r="AB61" s="202"/>
      <c r="AC61" s="202"/>
      <c r="AD61" s="202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207"/>
      <c r="Y62" s="207"/>
      <c r="Z62" s="207"/>
      <c r="AA62" s="237"/>
      <c r="AB62" s="207"/>
      <c r="AC62" s="207"/>
      <c r="AD62" s="207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4"/>
      <c r="P63" s="184"/>
      <c r="Q63" s="184"/>
      <c r="R63" s="184"/>
      <c r="S63" s="214"/>
      <c r="T63" s="184"/>
      <c r="U63" s="184"/>
      <c r="V63" s="184"/>
      <c r="W63" s="214"/>
      <c r="X63" s="207"/>
      <c r="Y63" s="207"/>
      <c r="Z63" s="207"/>
      <c r="AA63" s="237"/>
      <c r="AB63" s="207"/>
      <c r="AC63" s="207"/>
      <c r="AD63" s="207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4"/>
      <c r="P64" s="184"/>
      <c r="Q64" s="184"/>
      <c r="R64" s="184"/>
      <c r="S64" s="214"/>
      <c r="T64" s="184"/>
      <c r="U64" s="184"/>
      <c r="V64" s="184"/>
      <c r="W64" s="214"/>
      <c r="X64" s="207"/>
      <c r="Y64" s="207"/>
      <c r="Z64" s="207"/>
      <c r="AA64" s="237"/>
      <c r="AB64" s="207"/>
      <c r="AC64" s="207"/>
      <c r="AD64" s="207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207"/>
      <c r="Y65" s="207"/>
      <c r="Z65" s="207"/>
      <c r="AA65" s="237"/>
      <c r="AB65" s="207"/>
      <c r="AC65" s="207"/>
      <c r="AD65" s="207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02">
        <f>K68+K71+K72+K83+K90+K91</f>
        <v>1252</v>
      </c>
      <c r="L66" s="102">
        <f aca="true" t="shared" si="7" ref="L66:AD66">L68+L71+L72+L83+L90+L91</f>
        <v>1237</v>
      </c>
      <c r="M66" s="102">
        <f t="shared" si="7"/>
        <v>1237</v>
      </c>
      <c r="N66" s="102">
        <f t="shared" si="7"/>
        <v>1237</v>
      </c>
      <c r="O66" s="215">
        <f t="shared" si="7"/>
        <v>312</v>
      </c>
      <c r="P66" s="102">
        <f t="shared" si="7"/>
        <v>104</v>
      </c>
      <c r="Q66" s="102">
        <f t="shared" si="7"/>
        <v>104</v>
      </c>
      <c r="R66" s="102">
        <f t="shared" si="7"/>
        <v>104</v>
      </c>
      <c r="S66" s="215">
        <f t="shared" si="7"/>
        <v>313</v>
      </c>
      <c r="T66" s="102">
        <f t="shared" si="7"/>
        <v>104</v>
      </c>
      <c r="U66" s="102">
        <f t="shared" si="7"/>
        <v>104</v>
      </c>
      <c r="V66" s="102">
        <f t="shared" si="7"/>
        <v>105</v>
      </c>
      <c r="W66" s="215">
        <f t="shared" si="7"/>
        <v>314</v>
      </c>
      <c r="X66" s="102">
        <f t="shared" si="7"/>
        <v>104</v>
      </c>
      <c r="Y66" s="102">
        <f t="shared" si="7"/>
        <v>104</v>
      </c>
      <c r="Z66" s="102">
        <f t="shared" si="7"/>
        <v>106</v>
      </c>
      <c r="AA66" s="215">
        <f t="shared" si="7"/>
        <v>313</v>
      </c>
      <c r="AB66" s="102">
        <f t="shared" si="7"/>
        <v>104</v>
      </c>
      <c r="AC66" s="102">
        <f t="shared" si="7"/>
        <v>104</v>
      </c>
      <c r="AD66" s="102">
        <f t="shared" si="7"/>
        <v>105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207"/>
      <c r="Y67" s="207"/>
      <c r="Z67" s="207"/>
      <c r="AA67" s="237"/>
      <c r="AB67" s="207"/>
      <c r="AC67" s="207"/>
      <c r="AD67" s="207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1237</v>
      </c>
      <c r="L68" s="45">
        <f aca="true" t="shared" si="8" ref="L68:AD68">L69+L70+L71</f>
        <v>1237</v>
      </c>
      <c r="M68" s="45">
        <f t="shared" si="8"/>
        <v>1237</v>
      </c>
      <c r="N68" s="45">
        <f t="shared" si="8"/>
        <v>1237</v>
      </c>
      <c r="O68" s="216">
        <f t="shared" si="8"/>
        <v>309</v>
      </c>
      <c r="P68" s="45">
        <f t="shared" si="8"/>
        <v>103</v>
      </c>
      <c r="Q68" s="45">
        <f t="shared" si="8"/>
        <v>103</v>
      </c>
      <c r="R68" s="45">
        <f t="shared" si="8"/>
        <v>103</v>
      </c>
      <c r="S68" s="216">
        <f t="shared" si="8"/>
        <v>309</v>
      </c>
      <c r="T68" s="45">
        <f t="shared" si="8"/>
        <v>103</v>
      </c>
      <c r="U68" s="45">
        <f t="shared" si="8"/>
        <v>103</v>
      </c>
      <c r="V68" s="45">
        <f t="shared" si="8"/>
        <v>103</v>
      </c>
      <c r="W68" s="216">
        <f t="shared" si="8"/>
        <v>310</v>
      </c>
      <c r="X68" s="45">
        <f t="shared" si="8"/>
        <v>103</v>
      </c>
      <c r="Y68" s="45">
        <f t="shared" si="8"/>
        <v>103</v>
      </c>
      <c r="Z68" s="45">
        <f t="shared" si="8"/>
        <v>104</v>
      </c>
      <c r="AA68" s="216">
        <f t="shared" si="8"/>
        <v>309</v>
      </c>
      <c r="AB68" s="45">
        <f t="shared" si="8"/>
        <v>103</v>
      </c>
      <c r="AC68" s="45">
        <f t="shared" si="8"/>
        <v>103</v>
      </c>
      <c r="AD68" s="45">
        <f t="shared" si="8"/>
        <v>103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1237</v>
      </c>
      <c r="L69" s="144">
        <v>1237</v>
      </c>
      <c r="M69" s="144">
        <v>1237</v>
      </c>
      <c r="N69" s="144">
        <v>1237</v>
      </c>
      <c r="O69" s="223">
        <v>309</v>
      </c>
      <c r="P69" s="144">
        <v>103</v>
      </c>
      <c r="Q69" s="144">
        <v>103</v>
      </c>
      <c r="R69" s="144">
        <v>103</v>
      </c>
      <c r="S69" s="223">
        <v>309</v>
      </c>
      <c r="T69" s="144">
        <v>103</v>
      </c>
      <c r="U69" s="144">
        <v>103</v>
      </c>
      <c r="V69" s="144">
        <v>103</v>
      </c>
      <c r="W69" s="223">
        <v>310</v>
      </c>
      <c r="X69" s="200">
        <v>103</v>
      </c>
      <c r="Y69" s="200">
        <v>103</v>
      </c>
      <c r="Z69" s="200">
        <v>104</v>
      </c>
      <c r="AA69" s="243">
        <v>309</v>
      </c>
      <c r="AB69" s="200">
        <v>103</v>
      </c>
      <c r="AC69" s="200">
        <v>103</v>
      </c>
      <c r="AD69" s="200">
        <v>103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207"/>
      <c r="Y70" s="207"/>
      <c r="Z70" s="207"/>
      <c r="AA70" s="237"/>
      <c r="AB70" s="207"/>
      <c r="AC70" s="207"/>
      <c r="AD70" s="207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207"/>
      <c r="Y71" s="207"/>
      <c r="Z71" s="207"/>
      <c r="AA71" s="237"/>
      <c r="AB71" s="207"/>
      <c r="AC71" s="207"/>
      <c r="AD71" s="207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189"/>
      <c r="Y72" s="189"/>
      <c r="Z72" s="189"/>
      <c r="AA72" s="245">
        <f>AA73+AA74+AA75+AA76+AA77+AA78+AA79+AA80+AA81</f>
        <v>0</v>
      </c>
      <c r="AB72" s="189"/>
      <c r="AC72" s="189"/>
      <c r="AD72" s="189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4"/>
      <c r="P73" s="184"/>
      <c r="Q73" s="184"/>
      <c r="R73" s="184"/>
      <c r="S73" s="214"/>
      <c r="T73" s="184"/>
      <c r="U73" s="184"/>
      <c r="V73" s="184"/>
      <c r="W73" s="214"/>
      <c r="X73" s="207"/>
      <c r="Y73" s="207"/>
      <c r="Z73" s="207"/>
      <c r="AA73" s="237"/>
      <c r="AB73" s="207"/>
      <c r="AC73" s="207"/>
      <c r="AD73" s="207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4"/>
      <c r="P74" s="184"/>
      <c r="Q74" s="184"/>
      <c r="R74" s="184"/>
      <c r="S74" s="214"/>
      <c r="T74" s="184"/>
      <c r="U74" s="184"/>
      <c r="V74" s="184"/>
      <c r="W74" s="214"/>
      <c r="X74" s="207"/>
      <c r="Y74" s="207"/>
      <c r="Z74" s="207"/>
      <c r="AA74" s="237"/>
      <c r="AB74" s="207"/>
      <c r="AC74" s="207"/>
      <c r="AD74" s="207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4"/>
      <c r="P75" s="184"/>
      <c r="Q75" s="184"/>
      <c r="R75" s="184"/>
      <c r="S75" s="214"/>
      <c r="T75" s="184"/>
      <c r="U75" s="184"/>
      <c r="V75" s="184"/>
      <c r="W75" s="214"/>
      <c r="X75" s="207"/>
      <c r="Y75" s="207"/>
      <c r="Z75" s="207"/>
      <c r="AA75" s="237"/>
      <c r="AB75" s="207"/>
      <c r="AC75" s="207"/>
      <c r="AD75" s="207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4"/>
      <c r="P76" s="184"/>
      <c r="Q76" s="184"/>
      <c r="R76" s="184"/>
      <c r="S76" s="214"/>
      <c r="T76" s="184"/>
      <c r="U76" s="184"/>
      <c r="V76" s="184"/>
      <c r="W76" s="214"/>
      <c r="X76" s="207"/>
      <c r="Y76" s="207"/>
      <c r="Z76" s="207"/>
      <c r="AA76" s="237"/>
      <c r="AB76" s="207"/>
      <c r="AC76" s="207"/>
      <c r="AD76" s="207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4"/>
      <c r="P77" s="184"/>
      <c r="Q77" s="184"/>
      <c r="R77" s="184"/>
      <c r="S77" s="214"/>
      <c r="T77" s="184"/>
      <c r="U77" s="184"/>
      <c r="V77" s="184"/>
      <c r="W77" s="214"/>
      <c r="X77" s="207"/>
      <c r="Y77" s="207"/>
      <c r="Z77" s="207"/>
      <c r="AA77" s="237"/>
      <c r="AB77" s="207"/>
      <c r="AC77" s="207"/>
      <c r="AD77" s="207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4"/>
      <c r="P78" s="184"/>
      <c r="Q78" s="184"/>
      <c r="R78" s="184"/>
      <c r="S78" s="214"/>
      <c r="T78" s="184"/>
      <c r="U78" s="184"/>
      <c r="V78" s="184"/>
      <c r="W78" s="214"/>
      <c r="X78" s="207"/>
      <c r="Y78" s="207"/>
      <c r="Z78" s="207"/>
      <c r="AA78" s="237"/>
      <c r="AB78" s="207"/>
      <c r="AC78" s="207"/>
      <c r="AD78" s="207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4"/>
      <c r="P79" s="184"/>
      <c r="Q79" s="184"/>
      <c r="R79" s="184"/>
      <c r="S79" s="214"/>
      <c r="T79" s="184"/>
      <c r="U79" s="184"/>
      <c r="V79" s="184"/>
      <c r="W79" s="214"/>
      <c r="X79" s="207"/>
      <c r="Y79" s="207"/>
      <c r="Z79" s="207"/>
      <c r="AA79" s="237"/>
      <c r="AB79" s="207"/>
      <c r="AC79" s="207"/>
      <c r="AD79" s="207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4"/>
      <c r="P80" s="184"/>
      <c r="Q80" s="184"/>
      <c r="R80" s="184"/>
      <c r="S80" s="214"/>
      <c r="T80" s="184"/>
      <c r="U80" s="184"/>
      <c r="V80" s="184"/>
      <c r="W80" s="214"/>
      <c r="X80" s="207"/>
      <c r="Y80" s="207"/>
      <c r="Z80" s="207"/>
      <c r="AA80" s="237"/>
      <c r="AB80" s="207"/>
      <c r="AC80" s="207"/>
      <c r="AD80" s="207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4"/>
      <c r="P81" s="184"/>
      <c r="Q81" s="184"/>
      <c r="R81" s="184"/>
      <c r="S81" s="214"/>
      <c r="T81" s="184"/>
      <c r="U81" s="184"/>
      <c r="V81" s="184"/>
      <c r="W81" s="214"/>
      <c r="X81" s="207"/>
      <c r="Y81" s="207"/>
      <c r="Z81" s="207"/>
      <c r="AA81" s="237"/>
      <c r="AB81" s="207"/>
      <c r="AC81" s="207"/>
      <c r="AD81" s="207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207"/>
      <c r="Y82" s="207"/>
      <c r="Z82" s="207"/>
      <c r="AA82" s="237"/>
      <c r="AB82" s="207"/>
      <c r="AC82" s="207"/>
      <c r="AD82" s="207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189"/>
      <c r="Y83" s="189"/>
      <c r="Z83" s="189"/>
      <c r="AA83" s="245">
        <f>AA85+AA86+AA87+AA88+AA89</f>
        <v>0</v>
      </c>
      <c r="AB83" s="189"/>
      <c r="AC83" s="189"/>
      <c r="AD83" s="189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207"/>
      <c r="Y85" s="207"/>
      <c r="Z85" s="207"/>
      <c r="AA85" s="237"/>
      <c r="AB85" s="207"/>
      <c r="AC85" s="207"/>
      <c r="AD85" s="207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207"/>
      <c r="Y86" s="207"/>
      <c r="Z86" s="207"/>
      <c r="AA86" s="237"/>
      <c r="AB86" s="207"/>
      <c r="AC86" s="207"/>
      <c r="AD86" s="207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207"/>
      <c r="Y87" s="207"/>
      <c r="Z87" s="207"/>
      <c r="AA87" s="237"/>
      <c r="AB87" s="207"/>
      <c r="AC87" s="207"/>
      <c r="AD87" s="207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207"/>
      <c r="Y88" s="207"/>
      <c r="Z88" s="207"/>
      <c r="AA88" s="237"/>
      <c r="AB88" s="207"/>
      <c r="AC88" s="207"/>
      <c r="AD88" s="207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207"/>
      <c r="Y89" s="207"/>
      <c r="Z89" s="207"/>
      <c r="AA89" s="237"/>
      <c r="AB89" s="207"/>
      <c r="AC89" s="207"/>
      <c r="AD89" s="207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15</v>
      </c>
      <c r="O90" s="214">
        <v>3</v>
      </c>
      <c r="P90" s="184">
        <v>1</v>
      </c>
      <c r="Q90" s="184">
        <v>1</v>
      </c>
      <c r="R90" s="184">
        <v>1</v>
      </c>
      <c r="S90" s="214">
        <v>4</v>
      </c>
      <c r="T90" s="184">
        <v>1</v>
      </c>
      <c r="U90" s="184">
        <v>1</v>
      </c>
      <c r="V90" s="184">
        <v>2</v>
      </c>
      <c r="W90" s="214">
        <v>4</v>
      </c>
      <c r="X90" s="207">
        <v>1</v>
      </c>
      <c r="Y90" s="207">
        <v>1</v>
      </c>
      <c r="Z90" s="207">
        <v>2</v>
      </c>
      <c r="AA90" s="237">
        <v>4</v>
      </c>
      <c r="AB90" s="207">
        <v>1</v>
      </c>
      <c r="AC90" s="207">
        <v>1</v>
      </c>
      <c r="AD90" s="20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4"/>
      <c r="P91" s="184"/>
      <c r="Q91" s="184"/>
      <c r="R91" s="184"/>
      <c r="S91" s="214"/>
      <c r="T91" s="184"/>
      <c r="U91" s="184"/>
      <c r="V91" s="184"/>
      <c r="W91" s="214"/>
      <c r="X91" s="207"/>
      <c r="Y91" s="207"/>
      <c r="Z91" s="207"/>
      <c r="AA91" s="237"/>
      <c r="AB91" s="207"/>
      <c r="AC91" s="207"/>
      <c r="AD91" s="207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50</v>
      </c>
      <c r="L92" s="43">
        <f aca="true" t="shared" si="9" ref="L92:AD92">L93+L95</f>
        <v>0</v>
      </c>
      <c r="M92" s="43">
        <f t="shared" si="9"/>
        <v>0</v>
      </c>
      <c r="N92" s="43">
        <f t="shared" si="9"/>
        <v>0</v>
      </c>
      <c r="O92" s="219">
        <f t="shared" si="9"/>
        <v>2</v>
      </c>
      <c r="P92" s="43">
        <f t="shared" si="9"/>
        <v>1</v>
      </c>
      <c r="Q92" s="43">
        <f t="shared" si="9"/>
        <v>0.5</v>
      </c>
      <c r="R92" s="43">
        <f t="shared" si="9"/>
        <v>0.5</v>
      </c>
      <c r="S92" s="219">
        <f t="shared" si="9"/>
        <v>4</v>
      </c>
      <c r="T92" s="43">
        <f t="shared" si="9"/>
        <v>1</v>
      </c>
      <c r="U92" s="43">
        <f t="shared" si="9"/>
        <v>1.5</v>
      </c>
      <c r="V92" s="43">
        <f t="shared" si="9"/>
        <v>1.5</v>
      </c>
      <c r="W92" s="219">
        <f t="shared" si="9"/>
        <v>39</v>
      </c>
      <c r="X92" s="43">
        <f t="shared" si="9"/>
        <v>13</v>
      </c>
      <c r="Y92" s="43">
        <f t="shared" si="9"/>
        <v>4</v>
      </c>
      <c r="Z92" s="43">
        <f t="shared" si="9"/>
        <v>22</v>
      </c>
      <c r="AA92" s="219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12</v>
      </c>
      <c r="L93" s="108">
        <f aca="true" t="shared" si="10" ref="L93:AD93">L94</f>
        <v>0</v>
      </c>
      <c r="M93" s="108">
        <f t="shared" si="10"/>
        <v>0</v>
      </c>
      <c r="N93" s="108">
        <f t="shared" si="10"/>
        <v>0</v>
      </c>
      <c r="O93" s="225">
        <f t="shared" si="10"/>
        <v>2</v>
      </c>
      <c r="P93" s="108">
        <f t="shared" si="10"/>
        <v>1</v>
      </c>
      <c r="Q93" s="108">
        <f t="shared" si="10"/>
        <v>0.5</v>
      </c>
      <c r="R93" s="108">
        <f t="shared" si="10"/>
        <v>0.5</v>
      </c>
      <c r="S93" s="225">
        <f t="shared" si="10"/>
        <v>3</v>
      </c>
      <c r="T93" s="108">
        <f t="shared" si="10"/>
        <v>1</v>
      </c>
      <c r="U93" s="108">
        <f t="shared" si="10"/>
        <v>1</v>
      </c>
      <c r="V93" s="108">
        <f t="shared" si="10"/>
        <v>1</v>
      </c>
      <c r="W93" s="225">
        <f t="shared" si="10"/>
        <v>4</v>
      </c>
      <c r="X93" s="108">
        <f t="shared" si="10"/>
        <v>1</v>
      </c>
      <c r="Y93" s="108">
        <f t="shared" si="10"/>
        <v>2.5</v>
      </c>
      <c r="Z93" s="108">
        <f t="shared" si="10"/>
        <v>0.5</v>
      </c>
      <c r="AA93" s="225">
        <f t="shared" si="10"/>
        <v>3</v>
      </c>
      <c r="AB93" s="108">
        <f t="shared" si="10"/>
        <v>1</v>
      </c>
      <c r="AC93" s="108">
        <f t="shared" si="10"/>
        <v>1</v>
      </c>
      <c r="AD93" s="108">
        <f t="shared" si="10"/>
        <v>1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12</v>
      </c>
      <c r="O94" s="214">
        <f>10/5</f>
        <v>2</v>
      </c>
      <c r="P94" s="184">
        <v>1</v>
      </c>
      <c r="Q94" s="184">
        <v>0.5</v>
      </c>
      <c r="R94" s="184">
        <v>0.5</v>
      </c>
      <c r="S94" s="214">
        <v>3</v>
      </c>
      <c r="T94" s="184">
        <v>1</v>
      </c>
      <c r="U94" s="184">
        <v>1</v>
      </c>
      <c r="V94" s="184">
        <v>1</v>
      </c>
      <c r="W94" s="214">
        <v>4</v>
      </c>
      <c r="X94" s="207">
        <v>1</v>
      </c>
      <c r="Y94" s="207">
        <v>2.5</v>
      </c>
      <c r="Z94" s="207">
        <v>0.5</v>
      </c>
      <c r="AA94" s="237">
        <v>3</v>
      </c>
      <c r="AB94" s="207">
        <v>1</v>
      </c>
      <c r="AC94" s="207">
        <v>1</v>
      </c>
      <c r="AD94" s="207">
        <v>1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38</v>
      </c>
      <c r="L95" s="108">
        <f aca="true" t="shared" si="11" ref="L95:AD95">L96</f>
        <v>0</v>
      </c>
      <c r="M95" s="108">
        <f t="shared" si="11"/>
        <v>0</v>
      </c>
      <c r="N95" s="108">
        <f t="shared" si="11"/>
        <v>0</v>
      </c>
      <c r="O95" s="225">
        <f t="shared" si="11"/>
        <v>0</v>
      </c>
      <c r="P95" s="108">
        <f t="shared" si="11"/>
        <v>0</v>
      </c>
      <c r="Q95" s="108">
        <f t="shared" si="11"/>
        <v>0</v>
      </c>
      <c r="R95" s="108">
        <f t="shared" si="11"/>
        <v>0</v>
      </c>
      <c r="S95" s="225">
        <f t="shared" si="11"/>
        <v>1</v>
      </c>
      <c r="T95" s="108">
        <f t="shared" si="11"/>
        <v>0</v>
      </c>
      <c r="U95" s="108">
        <f t="shared" si="11"/>
        <v>0.5</v>
      </c>
      <c r="V95" s="108">
        <f t="shared" si="11"/>
        <v>0.5</v>
      </c>
      <c r="W95" s="225">
        <f t="shared" si="11"/>
        <v>35</v>
      </c>
      <c r="X95" s="108">
        <f t="shared" si="11"/>
        <v>12</v>
      </c>
      <c r="Y95" s="108">
        <f t="shared" si="11"/>
        <v>1.5</v>
      </c>
      <c r="Z95" s="108">
        <f t="shared" si="11"/>
        <v>21.5</v>
      </c>
      <c r="AA95" s="225">
        <f t="shared" si="11"/>
        <v>2</v>
      </c>
      <c r="AB95" s="108">
        <f t="shared" si="11"/>
        <v>0</v>
      </c>
      <c r="AC95" s="108">
        <f t="shared" si="11"/>
        <v>1</v>
      </c>
      <c r="AD95" s="108">
        <f t="shared" si="11"/>
        <v>1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f>6+12+20</f>
        <v>38</v>
      </c>
      <c r="O96" s="214"/>
      <c r="P96" s="184"/>
      <c r="Q96" s="184"/>
      <c r="R96" s="184"/>
      <c r="S96" s="214">
        <v>1</v>
      </c>
      <c r="T96" s="184"/>
      <c r="U96" s="184">
        <v>0.5</v>
      </c>
      <c r="V96" s="184">
        <v>0.5</v>
      </c>
      <c r="W96" s="214">
        <f>3+12+20</f>
        <v>35</v>
      </c>
      <c r="X96" s="207">
        <v>12</v>
      </c>
      <c r="Y96" s="207">
        <v>1.5</v>
      </c>
      <c r="Z96" s="207">
        <f>1.5+20</f>
        <v>21.5</v>
      </c>
      <c r="AA96" s="237">
        <v>2</v>
      </c>
      <c r="AB96" s="207"/>
      <c r="AC96" s="207">
        <v>1</v>
      </c>
      <c r="AD96" s="207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2491</v>
      </c>
      <c r="L97" s="51">
        <f aca="true" t="shared" si="12" ref="L97:AD97">L23+L66+L92</f>
        <v>1237</v>
      </c>
      <c r="M97" s="51">
        <f t="shared" si="12"/>
        <v>1237</v>
      </c>
      <c r="N97" s="51">
        <f t="shared" si="12"/>
        <v>1237</v>
      </c>
      <c r="O97" s="226">
        <f>O23+O66+O92</f>
        <v>589</v>
      </c>
      <c r="P97" s="51">
        <f>P23+P66+P92</f>
        <v>160</v>
      </c>
      <c r="Q97" s="51">
        <f t="shared" si="12"/>
        <v>214</v>
      </c>
      <c r="R97" s="51">
        <f t="shared" si="12"/>
        <v>215</v>
      </c>
      <c r="S97" s="226">
        <f t="shared" si="12"/>
        <v>623</v>
      </c>
      <c r="T97" s="51">
        <f t="shared" si="12"/>
        <v>227</v>
      </c>
      <c r="U97" s="51">
        <f t="shared" si="12"/>
        <v>197</v>
      </c>
      <c r="V97" s="51">
        <f t="shared" si="12"/>
        <v>199</v>
      </c>
      <c r="W97" s="226">
        <f t="shared" si="12"/>
        <v>653</v>
      </c>
      <c r="X97" s="51">
        <f t="shared" si="12"/>
        <v>208</v>
      </c>
      <c r="Y97" s="51">
        <f t="shared" si="12"/>
        <v>201.5</v>
      </c>
      <c r="Z97" s="51">
        <f t="shared" si="12"/>
        <v>243.5</v>
      </c>
      <c r="AA97" s="226">
        <f t="shared" si="12"/>
        <v>626</v>
      </c>
      <c r="AB97" s="51">
        <f t="shared" si="12"/>
        <v>200.5</v>
      </c>
      <c r="AC97" s="51">
        <f t="shared" si="12"/>
        <v>202.5</v>
      </c>
      <c r="AD97" s="51">
        <f t="shared" si="12"/>
        <v>223</v>
      </c>
    </row>
    <row r="98" spans="15:27" ht="12.75">
      <c r="O98" s="210">
        <f>SUM(P97:R97)</f>
        <v>589</v>
      </c>
      <c r="S98" s="210">
        <f>SUM(T97:V97)</f>
        <v>623</v>
      </c>
      <c r="W98" s="210">
        <f>SUM(X97:Z97)</f>
        <v>653</v>
      </c>
      <c r="AA98" s="210">
        <f>SUM(AB97:AD97)</f>
        <v>626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77">
      <pane xSplit="6390" topLeftCell="I2" activePane="topRight" state="split"/>
      <selection pane="topLeft" activeCell="B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146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611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5">
        <f t="shared" si="0"/>
        <v>140</v>
      </c>
      <c r="P23" s="102">
        <f t="shared" si="0"/>
        <v>27</v>
      </c>
      <c r="Q23" s="102">
        <f t="shared" si="0"/>
        <v>56.5</v>
      </c>
      <c r="R23" s="102">
        <f t="shared" si="0"/>
        <v>56.5</v>
      </c>
      <c r="S23" s="215">
        <f t="shared" si="0"/>
        <v>141</v>
      </c>
      <c r="T23" s="102">
        <f t="shared" si="0"/>
        <v>28</v>
      </c>
      <c r="U23" s="102">
        <f t="shared" si="0"/>
        <v>56.5</v>
      </c>
      <c r="V23" s="102">
        <f t="shared" si="0"/>
        <v>56.5</v>
      </c>
      <c r="W23" s="215">
        <f t="shared" si="0"/>
        <v>162</v>
      </c>
      <c r="X23" s="102">
        <f t="shared" si="0"/>
        <v>27</v>
      </c>
      <c r="Y23" s="102">
        <f t="shared" si="0"/>
        <v>57</v>
      </c>
      <c r="Z23" s="102">
        <f t="shared" si="0"/>
        <v>78</v>
      </c>
      <c r="AA23" s="215">
        <f t="shared" si="0"/>
        <v>168</v>
      </c>
      <c r="AB23" s="102">
        <f t="shared" si="0"/>
        <v>29</v>
      </c>
      <c r="AC23" s="102">
        <f t="shared" si="0"/>
        <v>80.5</v>
      </c>
      <c r="AD23" s="102">
        <f t="shared" si="0"/>
        <v>58.5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484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121</v>
      </c>
      <c r="P24" s="45">
        <f t="shared" si="1"/>
        <v>21</v>
      </c>
      <c r="Q24" s="45">
        <f t="shared" si="1"/>
        <v>50</v>
      </c>
      <c r="R24" s="45">
        <f t="shared" si="1"/>
        <v>50</v>
      </c>
      <c r="S24" s="216">
        <f t="shared" si="1"/>
        <v>121</v>
      </c>
      <c r="T24" s="45">
        <f t="shared" si="1"/>
        <v>21</v>
      </c>
      <c r="U24" s="45">
        <f t="shared" si="1"/>
        <v>50</v>
      </c>
      <c r="V24" s="45">
        <f t="shared" si="1"/>
        <v>50</v>
      </c>
      <c r="W24" s="216">
        <f t="shared" si="1"/>
        <v>121</v>
      </c>
      <c r="X24" s="45">
        <f t="shared" si="1"/>
        <v>21</v>
      </c>
      <c r="Y24" s="45">
        <f t="shared" si="1"/>
        <v>50</v>
      </c>
      <c r="Z24" s="45">
        <f t="shared" si="1"/>
        <v>50</v>
      </c>
      <c r="AA24" s="216">
        <f t="shared" si="1"/>
        <v>121</v>
      </c>
      <c r="AB24" s="45">
        <f t="shared" si="1"/>
        <v>21</v>
      </c>
      <c r="AC24" s="45">
        <f t="shared" si="1"/>
        <v>50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484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121</v>
      </c>
      <c r="P25" s="45">
        <f t="shared" si="2"/>
        <v>21</v>
      </c>
      <c r="Q25" s="45">
        <f t="shared" si="2"/>
        <v>50</v>
      </c>
      <c r="R25" s="45">
        <f t="shared" si="2"/>
        <v>50</v>
      </c>
      <c r="S25" s="216">
        <f t="shared" si="2"/>
        <v>121</v>
      </c>
      <c r="T25" s="45">
        <f t="shared" si="2"/>
        <v>21</v>
      </c>
      <c r="U25" s="45">
        <f t="shared" si="2"/>
        <v>50</v>
      </c>
      <c r="V25" s="45">
        <f t="shared" si="2"/>
        <v>50</v>
      </c>
      <c r="W25" s="216">
        <f t="shared" si="2"/>
        <v>121</v>
      </c>
      <c r="X25" s="45">
        <f t="shared" si="2"/>
        <v>21</v>
      </c>
      <c r="Y25" s="45">
        <f t="shared" si="2"/>
        <v>50</v>
      </c>
      <c r="Z25" s="45">
        <f t="shared" si="2"/>
        <v>50</v>
      </c>
      <c r="AA25" s="216">
        <f t="shared" si="2"/>
        <v>121</v>
      </c>
      <c r="AB25" s="45">
        <f t="shared" si="2"/>
        <v>21</v>
      </c>
      <c r="AC25" s="45">
        <f t="shared" si="2"/>
        <v>50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484</v>
      </c>
      <c r="O27" s="214">
        <f>484/4</f>
        <v>121</v>
      </c>
      <c r="P27" s="184">
        <v>21</v>
      </c>
      <c r="Q27" s="184">
        <v>50</v>
      </c>
      <c r="R27" s="184">
        <v>50</v>
      </c>
      <c r="S27" s="214">
        <v>121</v>
      </c>
      <c r="T27" s="184">
        <v>21</v>
      </c>
      <c r="U27" s="184">
        <v>50</v>
      </c>
      <c r="V27" s="184">
        <v>50</v>
      </c>
      <c r="W27" s="214">
        <v>121</v>
      </c>
      <c r="X27" s="184">
        <v>21</v>
      </c>
      <c r="Y27" s="184">
        <v>50</v>
      </c>
      <c r="Z27" s="184">
        <v>50</v>
      </c>
      <c r="AA27" s="214">
        <v>121</v>
      </c>
      <c r="AB27" s="184">
        <v>21</v>
      </c>
      <c r="AC27" s="184">
        <v>50</v>
      </c>
      <c r="AD27" s="184">
        <v>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484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121</v>
      </c>
      <c r="P28" s="47">
        <v>21</v>
      </c>
      <c r="Q28" s="47">
        <v>50</v>
      </c>
      <c r="R28" s="47">
        <v>50</v>
      </c>
      <c r="S28" s="217">
        <f>S27</f>
        <v>121</v>
      </c>
      <c r="T28" s="47">
        <v>21</v>
      </c>
      <c r="U28" s="47">
        <v>50</v>
      </c>
      <c r="V28" s="47">
        <v>50</v>
      </c>
      <c r="W28" s="217">
        <f>W27</f>
        <v>121</v>
      </c>
      <c r="X28" s="47">
        <v>21</v>
      </c>
      <c r="Y28" s="47">
        <v>50</v>
      </c>
      <c r="Z28" s="47">
        <v>50</v>
      </c>
      <c r="AA28" s="217">
        <f>AA27</f>
        <v>121</v>
      </c>
      <c r="AB28" s="47">
        <v>21</v>
      </c>
      <c r="AC28" s="47">
        <v>50</v>
      </c>
      <c r="AD28" s="47">
        <v>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46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22</v>
      </c>
      <c r="X34" s="43">
        <f t="shared" si="3"/>
        <v>0</v>
      </c>
      <c r="Y34" s="43">
        <f t="shared" si="3"/>
        <v>1</v>
      </c>
      <c r="Z34" s="43">
        <f t="shared" si="3"/>
        <v>21</v>
      </c>
      <c r="AA34" s="219">
        <f t="shared" si="3"/>
        <v>24</v>
      </c>
      <c r="AB34" s="43">
        <f t="shared" si="3"/>
        <v>0.5</v>
      </c>
      <c r="AC34" s="43">
        <f t="shared" si="3"/>
        <v>23</v>
      </c>
      <c r="AD34" s="43">
        <f t="shared" si="3"/>
        <v>0.5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6</v>
      </c>
      <c r="O35" s="214"/>
      <c r="P35" s="184"/>
      <c r="Q35" s="184"/>
      <c r="R35" s="184"/>
      <c r="S35" s="214"/>
      <c r="T35" s="184"/>
      <c r="U35" s="184"/>
      <c r="V35" s="184"/>
      <c r="W35" s="214">
        <f>6/3</f>
        <v>2</v>
      </c>
      <c r="X35" s="184"/>
      <c r="Y35" s="184">
        <v>1</v>
      </c>
      <c r="Z35" s="184">
        <v>1</v>
      </c>
      <c r="AA35" s="214">
        <v>4</v>
      </c>
      <c r="AB35" s="184">
        <v>0.5</v>
      </c>
      <c r="AC35" s="184">
        <v>3</v>
      </c>
      <c r="AD35" s="184">
        <v>0.5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40</v>
      </c>
      <c r="O37" s="214"/>
      <c r="P37" s="184"/>
      <c r="Q37" s="184"/>
      <c r="R37" s="184"/>
      <c r="S37" s="214"/>
      <c r="T37" s="184"/>
      <c r="U37" s="184"/>
      <c r="V37" s="184"/>
      <c r="W37" s="214">
        <v>20</v>
      </c>
      <c r="X37" s="184"/>
      <c r="Y37" s="184"/>
      <c r="Z37" s="184">
        <v>20</v>
      </c>
      <c r="AA37" s="214">
        <v>20</v>
      </c>
      <c r="AB37" s="184"/>
      <c r="AC37" s="184">
        <v>20</v>
      </c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124"/>
      <c r="Y41" s="124"/>
      <c r="Z41" s="124"/>
      <c r="AA41" s="270">
        <f>AA43+AA45+AA46+AA44</f>
        <v>0</v>
      </c>
      <c r="AB41" s="124"/>
      <c r="AC41" s="124"/>
      <c r="AD41" s="124"/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81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19">
        <f t="shared" si="4"/>
        <v>19</v>
      </c>
      <c r="P47" s="43">
        <f t="shared" si="4"/>
        <v>6</v>
      </c>
      <c r="Q47" s="43">
        <f t="shared" si="4"/>
        <v>6.5</v>
      </c>
      <c r="R47" s="43">
        <f t="shared" si="4"/>
        <v>6.5</v>
      </c>
      <c r="S47" s="219">
        <f t="shared" si="4"/>
        <v>20</v>
      </c>
      <c r="T47" s="43">
        <f t="shared" si="4"/>
        <v>7</v>
      </c>
      <c r="U47" s="43">
        <f t="shared" si="4"/>
        <v>6.5</v>
      </c>
      <c r="V47" s="43">
        <f t="shared" si="4"/>
        <v>6.5</v>
      </c>
      <c r="W47" s="219">
        <f t="shared" si="4"/>
        <v>19</v>
      </c>
      <c r="X47" s="43">
        <f t="shared" si="4"/>
        <v>6</v>
      </c>
      <c r="Y47" s="43">
        <f t="shared" si="4"/>
        <v>6</v>
      </c>
      <c r="Z47" s="43">
        <f t="shared" si="4"/>
        <v>7</v>
      </c>
      <c r="AA47" s="219">
        <f t="shared" si="4"/>
        <v>23</v>
      </c>
      <c r="AB47" s="43">
        <f t="shared" si="4"/>
        <v>7.5</v>
      </c>
      <c r="AC47" s="43">
        <f t="shared" si="4"/>
        <v>7.5</v>
      </c>
      <c r="AD47" s="43">
        <f t="shared" si="4"/>
        <v>8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63</v>
      </c>
      <c r="L49" s="121">
        <f aca="true" t="shared" si="5" ref="L49:AD49">L50</f>
        <v>0</v>
      </c>
      <c r="M49" s="121">
        <f t="shared" si="5"/>
        <v>0</v>
      </c>
      <c r="N49" s="121">
        <f t="shared" si="5"/>
        <v>0</v>
      </c>
      <c r="O49" s="222">
        <f t="shared" si="5"/>
        <v>15</v>
      </c>
      <c r="P49" s="121">
        <f t="shared" si="5"/>
        <v>5</v>
      </c>
      <c r="Q49" s="121">
        <f t="shared" si="5"/>
        <v>5</v>
      </c>
      <c r="R49" s="121">
        <f t="shared" si="5"/>
        <v>5</v>
      </c>
      <c r="S49" s="222">
        <f t="shared" si="5"/>
        <v>15</v>
      </c>
      <c r="T49" s="121">
        <f t="shared" si="5"/>
        <v>5</v>
      </c>
      <c r="U49" s="121">
        <f t="shared" si="5"/>
        <v>5</v>
      </c>
      <c r="V49" s="121">
        <f t="shared" si="5"/>
        <v>5</v>
      </c>
      <c r="W49" s="222">
        <f t="shared" si="5"/>
        <v>15</v>
      </c>
      <c r="X49" s="121">
        <f t="shared" si="5"/>
        <v>5</v>
      </c>
      <c r="Y49" s="121">
        <f t="shared" si="5"/>
        <v>5</v>
      </c>
      <c r="Z49" s="121">
        <f t="shared" si="5"/>
        <v>5</v>
      </c>
      <c r="AA49" s="222">
        <f t="shared" si="5"/>
        <v>18</v>
      </c>
      <c r="AB49" s="121">
        <f t="shared" si="5"/>
        <v>6</v>
      </c>
      <c r="AC49" s="121">
        <f t="shared" si="5"/>
        <v>6</v>
      </c>
      <c r="AD49" s="121">
        <f t="shared" si="5"/>
        <v>6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63</v>
      </c>
      <c r="O50" s="214">
        <v>15</v>
      </c>
      <c r="P50" s="184">
        <v>5</v>
      </c>
      <c r="Q50" s="184">
        <v>5</v>
      </c>
      <c r="R50" s="184">
        <v>5</v>
      </c>
      <c r="S50" s="214">
        <v>15</v>
      </c>
      <c r="T50" s="184">
        <v>5</v>
      </c>
      <c r="U50" s="184">
        <v>5</v>
      </c>
      <c r="V50" s="184">
        <v>5</v>
      </c>
      <c r="W50" s="214">
        <v>15</v>
      </c>
      <c r="X50" s="184">
        <v>5</v>
      </c>
      <c r="Y50" s="184">
        <v>5</v>
      </c>
      <c r="Z50" s="184">
        <v>5</v>
      </c>
      <c r="AA50" s="214">
        <f>63-15-15-15</f>
        <v>18</v>
      </c>
      <c r="AB50" s="184">
        <v>6</v>
      </c>
      <c r="AC50" s="184">
        <v>6</v>
      </c>
      <c r="AD50" s="184">
        <v>6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18</v>
      </c>
      <c r="L53" s="121">
        <f aca="true" t="shared" si="6" ref="L53:AD53">L54</f>
        <v>0</v>
      </c>
      <c r="M53" s="121">
        <f t="shared" si="6"/>
        <v>0</v>
      </c>
      <c r="N53" s="121">
        <f t="shared" si="6"/>
        <v>0</v>
      </c>
      <c r="O53" s="222">
        <f t="shared" si="6"/>
        <v>4</v>
      </c>
      <c r="P53" s="121">
        <f t="shared" si="6"/>
        <v>1</v>
      </c>
      <c r="Q53" s="121">
        <f t="shared" si="6"/>
        <v>1.5</v>
      </c>
      <c r="R53" s="121">
        <f t="shared" si="6"/>
        <v>1.5</v>
      </c>
      <c r="S53" s="222">
        <f t="shared" si="6"/>
        <v>5</v>
      </c>
      <c r="T53" s="121">
        <f t="shared" si="6"/>
        <v>2</v>
      </c>
      <c r="U53" s="121">
        <f t="shared" si="6"/>
        <v>1.5</v>
      </c>
      <c r="V53" s="121">
        <f t="shared" si="6"/>
        <v>1.5</v>
      </c>
      <c r="W53" s="222">
        <f t="shared" si="6"/>
        <v>4</v>
      </c>
      <c r="X53" s="121">
        <f t="shared" si="6"/>
        <v>1</v>
      </c>
      <c r="Y53" s="121">
        <f t="shared" si="6"/>
        <v>1</v>
      </c>
      <c r="Z53" s="121">
        <f t="shared" si="6"/>
        <v>2</v>
      </c>
      <c r="AA53" s="222">
        <f t="shared" si="6"/>
        <v>5</v>
      </c>
      <c r="AB53" s="121">
        <f t="shared" si="6"/>
        <v>1.5</v>
      </c>
      <c r="AC53" s="121">
        <f t="shared" si="6"/>
        <v>1.5</v>
      </c>
      <c r="AD53" s="121">
        <f t="shared" si="6"/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18</v>
      </c>
      <c r="O54" s="214">
        <v>4</v>
      </c>
      <c r="P54" s="184">
        <v>1</v>
      </c>
      <c r="Q54" s="184">
        <v>1.5</v>
      </c>
      <c r="R54" s="184">
        <v>1.5</v>
      </c>
      <c r="S54" s="214">
        <v>5</v>
      </c>
      <c r="T54" s="184">
        <v>2</v>
      </c>
      <c r="U54" s="184">
        <v>1.5</v>
      </c>
      <c r="V54" s="184">
        <v>1.5</v>
      </c>
      <c r="W54" s="214">
        <v>4</v>
      </c>
      <c r="X54" s="184">
        <v>1</v>
      </c>
      <c r="Y54" s="184">
        <v>1</v>
      </c>
      <c r="Z54" s="184">
        <v>2</v>
      </c>
      <c r="AA54" s="214">
        <v>5</v>
      </c>
      <c r="AB54" s="184">
        <v>1.5</v>
      </c>
      <c r="AC54" s="184">
        <v>1.5</v>
      </c>
      <c r="AD54" s="184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K62+K63</f>
        <v>0</v>
      </c>
      <c r="L61" s="68">
        <f>L62+L63</f>
        <v>0</v>
      </c>
      <c r="M61" s="68">
        <f>M62+M63</f>
        <v>0</v>
      </c>
      <c r="N61" s="68">
        <f>N62+N63</f>
        <v>0</v>
      </c>
      <c r="O61" s="224">
        <f>O62+O63</f>
        <v>0</v>
      </c>
      <c r="P61" s="68"/>
      <c r="Q61" s="68"/>
      <c r="R61" s="68"/>
      <c r="S61" s="224">
        <f>S62+S63</f>
        <v>0</v>
      </c>
      <c r="T61" s="68"/>
      <c r="U61" s="68"/>
      <c r="V61" s="68"/>
      <c r="W61" s="224">
        <f>W62+W63</f>
        <v>0</v>
      </c>
      <c r="X61" s="68"/>
      <c r="Y61" s="68"/>
      <c r="Z61" s="68"/>
      <c r="AA61" s="224">
        <f>AA62+AA63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673</v>
      </c>
      <c r="L66" s="43">
        <f aca="true" t="shared" si="7" ref="L66:AD66">L68+L71+L72+L83+L90+L91</f>
        <v>0</v>
      </c>
      <c r="M66" s="43">
        <f t="shared" si="7"/>
        <v>0</v>
      </c>
      <c r="N66" s="43">
        <f t="shared" si="7"/>
        <v>0</v>
      </c>
      <c r="O66" s="219">
        <f t="shared" si="7"/>
        <v>167</v>
      </c>
      <c r="P66" s="43">
        <f t="shared" si="7"/>
        <v>56</v>
      </c>
      <c r="Q66" s="43">
        <f t="shared" si="7"/>
        <v>55.5</v>
      </c>
      <c r="R66" s="43">
        <f t="shared" si="7"/>
        <v>55.5</v>
      </c>
      <c r="S66" s="219">
        <f t="shared" si="7"/>
        <v>168</v>
      </c>
      <c r="T66" s="43">
        <f t="shared" si="7"/>
        <v>56</v>
      </c>
      <c r="U66" s="43">
        <f t="shared" si="7"/>
        <v>56</v>
      </c>
      <c r="V66" s="43">
        <f t="shared" si="7"/>
        <v>56</v>
      </c>
      <c r="W66" s="219">
        <f t="shared" si="7"/>
        <v>170</v>
      </c>
      <c r="X66" s="43">
        <f t="shared" si="7"/>
        <v>57</v>
      </c>
      <c r="Y66" s="43">
        <f t="shared" si="7"/>
        <v>56.5</v>
      </c>
      <c r="Z66" s="43">
        <f t="shared" si="7"/>
        <v>56.5</v>
      </c>
      <c r="AA66" s="219">
        <f t="shared" si="7"/>
        <v>168</v>
      </c>
      <c r="AB66" s="43">
        <f t="shared" si="7"/>
        <v>56</v>
      </c>
      <c r="AC66" s="43">
        <f t="shared" si="7"/>
        <v>56</v>
      </c>
      <c r="AD66" s="43">
        <f t="shared" si="7"/>
        <v>56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663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6">
        <f t="shared" si="8"/>
        <v>165</v>
      </c>
      <c r="P68" s="45">
        <f t="shared" si="8"/>
        <v>55</v>
      </c>
      <c r="Q68" s="45">
        <f t="shared" si="8"/>
        <v>55</v>
      </c>
      <c r="R68" s="45">
        <f t="shared" si="8"/>
        <v>55</v>
      </c>
      <c r="S68" s="216">
        <f t="shared" si="8"/>
        <v>165</v>
      </c>
      <c r="T68" s="45">
        <f t="shared" si="8"/>
        <v>55</v>
      </c>
      <c r="U68" s="45">
        <f t="shared" si="8"/>
        <v>55</v>
      </c>
      <c r="V68" s="45">
        <f t="shared" si="8"/>
        <v>55</v>
      </c>
      <c r="W68" s="216">
        <f t="shared" si="8"/>
        <v>168</v>
      </c>
      <c r="X68" s="45">
        <f t="shared" si="8"/>
        <v>56</v>
      </c>
      <c r="Y68" s="45">
        <f t="shared" si="8"/>
        <v>56</v>
      </c>
      <c r="Z68" s="45">
        <f t="shared" si="8"/>
        <v>56</v>
      </c>
      <c r="AA68" s="216">
        <f t="shared" si="8"/>
        <v>165</v>
      </c>
      <c r="AB68" s="45">
        <f t="shared" si="8"/>
        <v>55</v>
      </c>
      <c r="AC68" s="45">
        <f t="shared" si="8"/>
        <v>55</v>
      </c>
      <c r="AD68" s="45">
        <f t="shared" si="8"/>
        <v>55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663</v>
      </c>
      <c r="O69" s="214">
        <v>165</v>
      </c>
      <c r="P69" s="184">
        <v>55</v>
      </c>
      <c r="Q69" s="184">
        <v>55</v>
      </c>
      <c r="R69" s="184">
        <v>55</v>
      </c>
      <c r="S69" s="214">
        <v>165</v>
      </c>
      <c r="T69" s="184">
        <v>55</v>
      </c>
      <c r="U69" s="184">
        <v>55</v>
      </c>
      <c r="V69" s="184">
        <v>55</v>
      </c>
      <c r="W69" s="214">
        <f>663-165-165-165</f>
        <v>168</v>
      </c>
      <c r="X69" s="184">
        <v>56</v>
      </c>
      <c r="Y69" s="184">
        <v>56</v>
      </c>
      <c r="Z69" s="184">
        <v>56</v>
      </c>
      <c r="AA69" s="214">
        <v>165</v>
      </c>
      <c r="AB69" s="184">
        <v>55</v>
      </c>
      <c r="AC69" s="184">
        <v>55</v>
      </c>
      <c r="AD69" s="184">
        <v>55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10</v>
      </c>
      <c r="O90" s="214">
        <v>2</v>
      </c>
      <c r="P90" s="184">
        <v>1</v>
      </c>
      <c r="Q90" s="184">
        <v>0.5</v>
      </c>
      <c r="R90" s="184">
        <v>0.5</v>
      </c>
      <c r="S90" s="214">
        <v>3</v>
      </c>
      <c r="T90" s="184">
        <v>1</v>
      </c>
      <c r="U90" s="184">
        <v>1</v>
      </c>
      <c r="V90" s="184">
        <v>1</v>
      </c>
      <c r="W90" s="214">
        <v>2</v>
      </c>
      <c r="X90" s="184">
        <v>1</v>
      </c>
      <c r="Y90" s="184">
        <v>0.5</v>
      </c>
      <c r="Z90" s="184">
        <v>0.5</v>
      </c>
      <c r="AA90" s="214">
        <v>3</v>
      </c>
      <c r="AB90" s="184">
        <v>1</v>
      </c>
      <c r="AC90" s="184">
        <v>1</v>
      </c>
      <c r="AD90" s="184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53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19">
        <f t="shared" si="9"/>
        <v>13</v>
      </c>
      <c r="P92" s="43">
        <f t="shared" si="9"/>
        <v>4</v>
      </c>
      <c r="Q92" s="43">
        <f t="shared" si="9"/>
        <v>4</v>
      </c>
      <c r="R92" s="43">
        <f t="shared" si="9"/>
        <v>5</v>
      </c>
      <c r="S92" s="219">
        <f t="shared" si="9"/>
        <v>13</v>
      </c>
      <c r="T92" s="43">
        <f t="shared" si="9"/>
        <v>4</v>
      </c>
      <c r="U92" s="43">
        <f t="shared" si="9"/>
        <v>4</v>
      </c>
      <c r="V92" s="43">
        <f t="shared" si="9"/>
        <v>5</v>
      </c>
      <c r="W92" s="219">
        <f t="shared" si="9"/>
        <v>13</v>
      </c>
      <c r="X92" s="43">
        <f t="shared" si="9"/>
        <v>4</v>
      </c>
      <c r="Y92" s="43">
        <f t="shared" si="9"/>
        <v>4</v>
      </c>
      <c r="Z92" s="43">
        <f t="shared" si="9"/>
        <v>5</v>
      </c>
      <c r="AA92" s="219">
        <f t="shared" si="9"/>
        <v>14</v>
      </c>
      <c r="AB92" s="43">
        <f t="shared" si="9"/>
        <v>4</v>
      </c>
      <c r="AC92" s="43">
        <f t="shared" si="9"/>
        <v>5</v>
      </c>
      <c r="AD92" s="43">
        <f t="shared" si="9"/>
        <v>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53</v>
      </c>
      <c r="L93" s="108">
        <f aca="true" t="shared" si="10" ref="L93:AD93">L94</f>
        <v>0</v>
      </c>
      <c r="M93" s="108">
        <f t="shared" si="10"/>
        <v>0</v>
      </c>
      <c r="N93" s="108">
        <f t="shared" si="10"/>
        <v>0</v>
      </c>
      <c r="O93" s="225">
        <f t="shared" si="10"/>
        <v>13</v>
      </c>
      <c r="P93" s="108">
        <f t="shared" si="10"/>
        <v>4</v>
      </c>
      <c r="Q93" s="108">
        <f t="shared" si="10"/>
        <v>4</v>
      </c>
      <c r="R93" s="108">
        <f t="shared" si="10"/>
        <v>5</v>
      </c>
      <c r="S93" s="225">
        <f t="shared" si="10"/>
        <v>13</v>
      </c>
      <c r="T93" s="108">
        <f t="shared" si="10"/>
        <v>4</v>
      </c>
      <c r="U93" s="108">
        <f t="shared" si="10"/>
        <v>4</v>
      </c>
      <c r="V93" s="108">
        <f t="shared" si="10"/>
        <v>5</v>
      </c>
      <c r="W93" s="225">
        <f t="shared" si="10"/>
        <v>13</v>
      </c>
      <c r="X93" s="108">
        <f t="shared" si="10"/>
        <v>4</v>
      </c>
      <c r="Y93" s="108">
        <f t="shared" si="10"/>
        <v>4</v>
      </c>
      <c r="Z93" s="108">
        <f t="shared" si="10"/>
        <v>5</v>
      </c>
      <c r="AA93" s="225">
        <f t="shared" si="10"/>
        <v>14</v>
      </c>
      <c r="AB93" s="108">
        <f t="shared" si="10"/>
        <v>4</v>
      </c>
      <c r="AC93" s="108">
        <f t="shared" si="10"/>
        <v>5</v>
      </c>
      <c r="AD93" s="108">
        <f t="shared" si="10"/>
        <v>5</v>
      </c>
    </row>
    <row r="94" spans="1:30" ht="24.75" thickBo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53</v>
      </c>
      <c r="O94" s="214">
        <v>13</v>
      </c>
      <c r="P94" s="184">
        <v>4</v>
      </c>
      <c r="Q94" s="184">
        <v>4</v>
      </c>
      <c r="R94" s="184">
        <v>5</v>
      </c>
      <c r="S94" s="214">
        <v>13</v>
      </c>
      <c r="T94" s="184">
        <v>4</v>
      </c>
      <c r="U94" s="184">
        <v>4</v>
      </c>
      <c r="V94" s="184">
        <v>5</v>
      </c>
      <c r="W94" s="214">
        <v>13</v>
      </c>
      <c r="X94" s="184">
        <v>4</v>
      </c>
      <c r="Y94" s="184">
        <v>4</v>
      </c>
      <c r="Z94" s="184">
        <v>5</v>
      </c>
      <c r="AA94" s="214">
        <v>14</v>
      </c>
      <c r="AB94" s="184">
        <v>4</v>
      </c>
      <c r="AC94" s="184">
        <v>5</v>
      </c>
      <c r="AD94" s="184">
        <v>5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0</v>
      </c>
      <c r="O95" s="214"/>
      <c r="P95" s="184"/>
      <c r="Q95" s="184"/>
      <c r="R95" s="184"/>
      <c r="S95" s="214"/>
      <c r="T95" s="184"/>
      <c r="U95" s="184"/>
      <c r="V95" s="184"/>
      <c r="W95" s="214"/>
      <c r="X95" s="184"/>
      <c r="Y95" s="184"/>
      <c r="Z95" s="184"/>
      <c r="AA95" s="214"/>
      <c r="AB95" s="184"/>
      <c r="AC95" s="184"/>
      <c r="AD95" s="184"/>
    </row>
    <row r="96" spans="1:30" ht="24.75" hidden="1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0</v>
      </c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/>
      <c r="AB96" s="184"/>
      <c r="AC96" s="184"/>
      <c r="AD96" s="184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1337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6">
        <f t="shared" si="11"/>
        <v>320</v>
      </c>
      <c r="P97" s="51">
        <f t="shared" si="11"/>
        <v>87</v>
      </c>
      <c r="Q97" s="51">
        <f t="shared" si="11"/>
        <v>116</v>
      </c>
      <c r="R97" s="51">
        <f t="shared" si="11"/>
        <v>117</v>
      </c>
      <c r="S97" s="226">
        <f t="shared" si="11"/>
        <v>322</v>
      </c>
      <c r="T97" s="51">
        <f t="shared" si="11"/>
        <v>88</v>
      </c>
      <c r="U97" s="51">
        <f t="shared" si="11"/>
        <v>116.5</v>
      </c>
      <c r="V97" s="51">
        <f t="shared" si="11"/>
        <v>117.5</v>
      </c>
      <c r="W97" s="226">
        <f t="shared" si="11"/>
        <v>345</v>
      </c>
      <c r="X97" s="51">
        <f t="shared" si="11"/>
        <v>88</v>
      </c>
      <c r="Y97" s="51">
        <f t="shared" si="11"/>
        <v>117.5</v>
      </c>
      <c r="Z97" s="51">
        <f t="shared" si="11"/>
        <v>139.5</v>
      </c>
      <c r="AA97" s="226">
        <f t="shared" si="11"/>
        <v>350</v>
      </c>
      <c r="AB97" s="51">
        <f t="shared" si="11"/>
        <v>89</v>
      </c>
      <c r="AC97" s="51">
        <f t="shared" si="11"/>
        <v>141.5</v>
      </c>
      <c r="AD97" s="51">
        <f t="shared" si="11"/>
        <v>119.5</v>
      </c>
    </row>
    <row r="98" spans="15:27" ht="12.75">
      <c r="O98" s="210">
        <f>SUM(P97:R97)</f>
        <v>320</v>
      </c>
      <c r="S98" s="210">
        <f>SUM(T97:V97)</f>
        <v>322</v>
      </c>
      <c r="W98" s="210">
        <f>SUM(X97:Z97)</f>
        <v>345</v>
      </c>
      <c r="AA98" s="210">
        <f>SUM(AB97:AD97)</f>
        <v>350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5850" topLeftCell="S1" activePane="topRight" state="split"/>
      <selection pane="topLeft" activeCell="B102" sqref="B102"/>
      <selection pane="topRight" activeCell="W96" sqref="W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125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487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 aca="true" t="shared" si="0" ref="O23:AD23">O24+O31+O34+O38+O41+O47+O55+O64+O65+O61</f>
        <v>120</v>
      </c>
      <c r="P23" s="102">
        <f t="shared" si="0"/>
        <v>25</v>
      </c>
      <c r="Q23" s="102">
        <f t="shared" si="0"/>
        <v>46</v>
      </c>
      <c r="R23" s="102">
        <f t="shared" si="0"/>
        <v>49</v>
      </c>
      <c r="S23" s="215">
        <f t="shared" si="0"/>
        <v>121</v>
      </c>
      <c r="T23" s="102">
        <f t="shared" si="0"/>
        <v>39</v>
      </c>
      <c r="U23" s="102">
        <f t="shared" si="0"/>
        <v>39</v>
      </c>
      <c r="V23" s="102">
        <f t="shared" si="0"/>
        <v>43</v>
      </c>
      <c r="W23" s="215">
        <f t="shared" si="0"/>
        <v>124</v>
      </c>
      <c r="X23" s="102">
        <f t="shared" si="0"/>
        <v>39</v>
      </c>
      <c r="Y23" s="102">
        <f t="shared" si="0"/>
        <v>39</v>
      </c>
      <c r="Z23" s="102">
        <f t="shared" si="0"/>
        <v>46</v>
      </c>
      <c r="AA23" s="215">
        <f t="shared" si="0"/>
        <v>122</v>
      </c>
      <c r="AB23" s="102">
        <f t="shared" si="0"/>
        <v>39</v>
      </c>
      <c r="AC23" s="102">
        <f t="shared" si="0"/>
        <v>42</v>
      </c>
      <c r="AD23" s="102">
        <f t="shared" si="0"/>
        <v>41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425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106</v>
      </c>
      <c r="P24" s="45">
        <f aca="true" t="shared" si="1" ref="P24:AD24">P25</f>
        <v>21</v>
      </c>
      <c r="Q24" s="45">
        <f t="shared" si="1"/>
        <v>42</v>
      </c>
      <c r="R24" s="45">
        <f t="shared" si="1"/>
        <v>43</v>
      </c>
      <c r="S24" s="216">
        <f t="shared" si="1"/>
        <v>107</v>
      </c>
      <c r="T24" s="45">
        <f t="shared" si="1"/>
        <v>35</v>
      </c>
      <c r="U24" s="45">
        <f t="shared" si="1"/>
        <v>35</v>
      </c>
      <c r="V24" s="45">
        <f t="shared" si="1"/>
        <v>37</v>
      </c>
      <c r="W24" s="216">
        <f t="shared" si="1"/>
        <v>106</v>
      </c>
      <c r="X24" s="45">
        <f t="shared" si="1"/>
        <v>35</v>
      </c>
      <c r="Y24" s="45">
        <f t="shared" si="1"/>
        <v>35</v>
      </c>
      <c r="Z24" s="45">
        <f t="shared" si="1"/>
        <v>36</v>
      </c>
      <c r="AA24" s="216">
        <f t="shared" si="1"/>
        <v>106</v>
      </c>
      <c r="AB24" s="45">
        <f t="shared" si="1"/>
        <v>35</v>
      </c>
      <c r="AC24" s="45">
        <f t="shared" si="1"/>
        <v>35</v>
      </c>
      <c r="AD24" s="45">
        <f t="shared" si="1"/>
        <v>36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425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106</v>
      </c>
      <c r="P25" s="45">
        <f aca="true" t="shared" si="2" ref="P25:AD25">P26+P27+P30</f>
        <v>21</v>
      </c>
      <c r="Q25" s="45">
        <f t="shared" si="2"/>
        <v>42</v>
      </c>
      <c r="R25" s="45">
        <f t="shared" si="2"/>
        <v>43</v>
      </c>
      <c r="S25" s="216">
        <f t="shared" si="2"/>
        <v>107</v>
      </c>
      <c r="T25" s="45">
        <f t="shared" si="2"/>
        <v>35</v>
      </c>
      <c r="U25" s="45">
        <f t="shared" si="2"/>
        <v>35</v>
      </c>
      <c r="V25" s="45">
        <f t="shared" si="2"/>
        <v>37</v>
      </c>
      <c r="W25" s="216">
        <f t="shared" si="2"/>
        <v>106</v>
      </c>
      <c r="X25" s="45">
        <f t="shared" si="2"/>
        <v>35</v>
      </c>
      <c r="Y25" s="45">
        <f t="shared" si="2"/>
        <v>35</v>
      </c>
      <c r="Z25" s="45">
        <f t="shared" si="2"/>
        <v>36</v>
      </c>
      <c r="AA25" s="216">
        <f t="shared" si="2"/>
        <v>106</v>
      </c>
      <c r="AB25" s="45">
        <f t="shared" si="2"/>
        <v>35</v>
      </c>
      <c r="AC25" s="45">
        <f t="shared" si="2"/>
        <v>35</v>
      </c>
      <c r="AD25" s="45">
        <f t="shared" si="2"/>
        <v>36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425</v>
      </c>
      <c r="O27" s="214">
        <v>106</v>
      </c>
      <c r="P27" s="184">
        <v>21</v>
      </c>
      <c r="Q27" s="184">
        <v>42</v>
      </c>
      <c r="R27" s="184">
        <v>43</v>
      </c>
      <c r="S27" s="214">
        <v>107</v>
      </c>
      <c r="T27" s="184">
        <v>35</v>
      </c>
      <c r="U27" s="184">
        <v>35</v>
      </c>
      <c r="V27" s="184">
        <v>37</v>
      </c>
      <c r="W27" s="214">
        <v>106</v>
      </c>
      <c r="X27" s="184">
        <v>35</v>
      </c>
      <c r="Y27" s="184">
        <v>35</v>
      </c>
      <c r="Z27" s="184">
        <v>36</v>
      </c>
      <c r="AA27" s="214">
        <v>106</v>
      </c>
      <c r="AB27" s="184">
        <v>35</v>
      </c>
      <c r="AC27" s="184">
        <v>35</v>
      </c>
      <c r="AD27" s="184">
        <v>36</v>
      </c>
    </row>
    <row r="28" spans="1:30" ht="73.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425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106</v>
      </c>
      <c r="P28" s="47">
        <v>21</v>
      </c>
      <c r="Q28" s="47">
        <v>42</v>
      </c>
      <c r="R28" s="47">
        <v>43</v>
      </c>
      <c r="S28" s="217">
        <f>S27</f>
        <v>107</v>
      </c>
      <c r="T28" s="47">
        <v>35</v>
      </c>
      <c r="U28" s="47">
        <v>35</v>
      </c>
      <c r="V28" s="47">
        <v>37</v>
      </c>
      <c r="W28" s="217">
        <f>W27</f>
        <v>106</v>
      </c>
      <c r="X28" s="47">
        <v>35</v>
      </c>
      <c r="Y28" s="47">
        <v>35</v>
      </c>
      <c r="Z28" s="47">
        <v>36</v>
      </c>
      <c r="AA28" s="217">
        <f>AA27</f>
        <v>106</v>
      </c>
      <c r="AB28" s="47">
        <v>35</v>
      </c>
      <c r="AC28" s="47">
        <v>35</v>
      </c>
      <c r="AD28" s="47">
        <v>36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7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4</v>
      </c>
      <c r="X34" s="43">
        <f t="shared" si="3"/>
        <v>0</v>
      </c>
      <c r="Y34" s="43">
        <f t="shared" si="3"/>
        <v>0</v>
      </c>
      <c r="Z34" s="43">
        <f t="shared" si="3"/>
        <v>4</v>
      </c>
      <c r="AA34" s="219">
        <f t="shared" si="3"/>
        <v>3</v>
      </c>
      <c r="AB34" s="43">
        <f t="shared" si="3"/>
        <v>0</v>
      </c>
      <c r="AC34" s="43">
        <f t="shared" si="3"/>
        <v>3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5</v>
      </c>
      <c r="O35" s="214"/>
      <c r="P35" s="184"/>
      <c r="Q35" s="184"/>
      <c r="R35" s="184"/>
      <c r="S35" s="214"/>
      <c r="T35" s="184"/>
      <c r="U35" s="184"/>
      <c r="V35" s="184"/>
      <c r="W35" s="214">
        <v>2</v>
      </c>
      <c r="X35" s="184"/>
      <c r="Y35" s="184"/>
      <c r="Z35" s="184">
        <v>2</v>
      </c>
      <c r="AA35" s="214">
        <v>3</v>
      </c>
      <c r="AB35" s="184"/>
      <c r="AC35" s="184">
        <v>3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4"/>
      <c r="P37" s="184"/>
      <c r="Q37" s="184"/>
      <c r="R37" s="184"/>
      <c r="S37" s="214"/>
      <c r="T37" s="184"/>
      <c r="U37" s="184"/>
      <c r="V37" s="184"/>
      <c r="W37" s="214">
        <v>2</v>
      </c>
      <c r="X37" s="184"/>
      <c r="Y37" s="184"/>
      <c r="Z37" s="184">
        <v>2</v>
      </c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K43+K44+K45+K46</f>
        <v>0</v>
      </c>
      <c r="L41" s="124">
        <f>L43+L44+L45+L46</f>
        <v>0</v>
      </c>
      <c r="M41" s="124">
        <f>M43+M44+M45+M46</f>
        <v>0</v>
      </c>
      <c r="N41" s="124">
        <f>N43+N44+N45+N46</f>
        <v>0</v>
      </c>
      <c r="O41" s="270">
        <f>O43+O44+O45+O46</f>
        <v>0</v>
      </c>
      <c r="P41" s="124"/>
      <c r="Q41" s="124"/>
      <c r="R41" s="124"/>
      <c r="S41" s="270">
        <f>S43+S44+S45+S46</f>
        <v>0</v>
      </c>
      <c r="T41" s="124"/>
      <c r="U41" s="124"/>
      <c r="V41" s="124"/>
      <c r="W41" s="270">
        <f>W43+W44+W45+W46</f>
        <v>0</v>
      </c>
      <c r="X41" s="124"/>
      <c r="Y41" s="124"/>
      <c r="Z41" s="124"/>
      <c r="AA41" s="270">
        <f>AA43+AA44+AA45+AA46</f>
        <v>0</v>
      </c>
      <c r="AB41" s="124"/>
      <c r="AC41" s="124"/>
      <c r="AD41" s="124"/>
    </row>
    <row r="42" spans="1:30" ht="13.5" customHeight="1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55</v>
      </c>
      <c r="L47" s="43">
        <f>L49+L53</f>
        <v>0</v>
      </c>
      <c r="M47" s="43">
        <f>M49+M53</f>
        <v>0</v>
      </c>
      <c r="N47" s="43">
        <f>N49+N53</f>
        <v>0</v>
      </c>
      <c r="O47" s="219">
        <f>O49+O53</f>
        <v>14</v>
      </c>
      <c r="P47" s="43">
        <f aca="true" t="shared" si="4" ref="P47:AD47">P49+P53</f>
        <v>4</v>
      </c>
      <c r="Q47" s="43">
        <f t="shared" si="4"/>
        <v>4</v>
      </c>
      <c r="R47" s="43">
        <f t="shared" si="4"/>
        <v>6</v>
      </c>
      <c r="S47" s="219">
        <f t="shared" si="4"/>
        <v>14</v>
      </c>
      <c r="T47" s="43">
        <f t="shared" si="4"/>
        <v>4</v>
      </c>
      <c r="U47" s="43">
        <f t="shared" si="4"/>
        <v>4</v>
      </c>
      <c r="V47" s="43">
        <f t="shared" si="4"/>
        <v>6</v>
      </c>
      <c r="W47" s="219">
        <f t="shared" si="4"/>
        <v>14</v>
      </c>
      <c r="X47" s="43">
        <f t="shared" si="4"/>
        <v>4</v>
      </c>
      <c r="Y47" s="43">
        <f t="shared" si="4"/>
        <v>4</v>
      </c>
      <c r="Z47" s="43">
        <f t="shared" si="4"/>
        <v>6</v>
      </c>
      <c r="AA47" s="219">
        <f t="shared" si="4"/>
        <v>13</v>
      </c>
      <c r="AB47" s="43">
        <f t="shared" si="4"/>
        <v>4</v>
      </c>
      <c r="AC47" s="43">
        <f t="shared" si="4"/>
        <v>4</v>
      </c>
      <c r="AD47" s="43">
        <f t="shared" si="4"/>
        <v>5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28</v>
      </c>
      <c r="L49" s="121">
        <f>L50</f>
        <v>0</v>
      </c>
      <c r="M49" s="121">
        <f>M50</f>
        <v>0</v>
      </c>
      <c r="N49" s="121">
        <f>N50</f>
        <v>0</v>
      </c>
      <c r="O49" s="222">
        <f>O50</f>
        <v>7</v>
      </c>
      <c r="P49" s="121">
        <f aca="true" t="shared" si="5" ref="P49:AD49">P50</f>
        <v>2</v>
      </c>
      <c r="Q49" s="121">
        <f t="shared" si="5"/>
        <v>2</v>
      </c>
      <c r="R49" s="121">
        <f t="shared" si="5"/>
        <v>3</v>
      </c>
      <c r="S49" s="222">
        <f t="shared" si="5"/>
        <v>7</v>
      </c>
      <c r="T49" s="121">
        <f t="shared" si="5"/>
        <v>2</v>
      </c>
      <c r="U49" s="121">
        <f t="shared" si="5"/>
        <v>2</v>
      </c>
      <c r="V49" s="121">
        <f t="shared" si="5"/>
        <v>3</v>
      </c>
      <c r="W49" s="222">
        <f t="shared" si="5"/>
        <v>7</v>
      </c>
      <c r="X49" s="121">
        <f t="shared" si="5"/>
        <v>2</v>
      </c>
      <c r="Y49" s="121">
        <f t="shared" si="5"/>
        <v>2</v>
      </c>
      <c r="Z49" s="121">
        <f t="shared" si="5"/>
        <v>3</v>
      </c>
      <c r="AA49" s="222">
        <f t="shared" si="5"/>
        <v>7</v>
      </c>
      <c r="AB49" s="121">
        <f t="shared" si="5"/>
        <v>2</v>
      </c>
      <c r="AC49" s="121">
        <f t="shared" si="5"/>
        <v>2</v>
      </c>
      <c r="AD49" s="121">
        <f t="shared" si="5"/>
        <v>3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28</v>
      </c>
      <c r="O50" s="214">
        <f>28/4</f>
        <v>7</v>
      </c>
      <c r="P50" s="184">
        <v>2</v>
      </c>
      <c r="Q50" s="184">
        <v>2</v>
      </c>
      <c r="R50" s="184">
        <v>3</v>
      </c>
      <c r="S50" s="214">
        <v>7</v>
      </c>
      <c r="T50" s="184">
        <v>2</v>
      </c>
      <c r="U50" s="184">
        <v>2</v>
      </c>
      <c r="V50" s="184">
        <v>3</v>
      </c>
      <c r="W50" s="214">
        <v>7</v>
      </c>
      <c r="X50" s="184">
        <v>2</v>
      </c>
      <c r="Y50" s="184">
        <v>2</v>
      </c>
      <c r="Z50" s="184">
        <v>3</v>
      </c>
      <c r="AA50" s="214">
        <v>7</v>
      </c>
      <c r="AB50" s="184">
        <v>2</v>
      </c>
      <c r="AC50" s="184">
        <v>2</v>
      </c>
      <c r="AD50" s="184">
        <v>3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47">
        <f>K54</f>
        <v>27</v>
      </c>
      <c r="L53" s="47">
        <f>L54</f>
        <v>0</v>
      </c>
      <c r="M53" s="47">
        <f>M54</f>
        <v>0</v>
      </c>
      <c r="N53" s="47">
        <f>N54</f>
        <v>0</v>
      </c>
      <c r="O53" s="217">
        <f>O54</f>
        <v>7</v>
      </c>
      <c r="P53" s="47">
        <f aca="true" t="shared" si="6" ref="P53:AD53">P54</f>
        <v>2</v>
      </c>
      <c r="Q53" s="47">
        <f t="shared" si="6"/>
        <v>2</v>
      </c>
      <c r="R53" s="47">
        <f t="shared" si="6"/>
        <v>3</v>
      </c>
      <c r="S53" s="217">
        <f t="shared" si="6"/>
        <v>7</v>
      </c>
      <c r="T53" s="47">
        <f t="shared" si="6"/>
        <v>2</v>
      </c>
      <c r="U53" s="47">
        <f t="shared" si="6"/>
        <v>2</v>
      </c>
      <c r="V53" s="47">
        <f t="shared" si="6"/>
        <v>3</v>
      </c>
      <c r="W53" s="217">
        <f t="shared" si="6"/>
        <v>7</v>
      </c>
      <c r="X53" s="47">
        <f t="shared" si="6"/>
        <v>2</v>
      </c>
      <c r="Y53" s="47">
        <f t="shared" si="6"/>
        <v>2</v>
      </c>
      <c r="Z53" s="47">
        <f t="shared" si="6"/>
        <v>3</v>
      </c>
      <c r="AA53" s="217">
        <f t="shared" si="6"/>
        <v>6</v>
      </c>
      <c r="AB53" s="47">
        <f t="shared" si="6"/>
        <v>2</v>
      </c>
      <c r="AC53" s="47">
        <f t="shared" si="6"/>
        <v>2</v>
      </c>
      <c r="AD53" s="47">
        <f t="shared" si="6"/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27</v>
      </c>
      <c r="O54" s="214">
        <v>7</v>
      </c>
      <c r="P54" s="184">
        <v>2</v>
      </c>
      <c r="Q54" s="184">
        <v>2</v>
      </c>
      <c r="R54" s="184">
        <v>3</v>
      </c>
      <c r="S54" s="214">
        <v>7</v>
      </c>
      <c r="T54" s="184">
        <v>2</v>
      </c>
      <c r="U54" s="184">
        <v>2</v>
      </c>
      <c r="V54" s="184">
        <v>3</v>
      </c>
      <c r="W54" s="214">
        <v>7</v>
      </c>
      <c r="X54" s="184">
        <v>2</v>
      </c>
      <c r="Y54" s="184">
        <v>2</v>
      </c>
      <c r="Z54" s="184">
        <v>3</v>
      </c>
      <c r="AA54" s="214">
        <v>6</v>
      </c>
      <c r="AB54" s="184">
        <v>2</v>
      </c>
      <c r="AC54" s="184">
        <v>2</v>
      </c>
      <c r="AD54" s="184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655</v>
      </c>
      <c r="L66" s="43">
        <f>L68+L71+L72+L83+L90+L91</f>
        <v>16</v>
      </c>
      <c r="M66" s="43">
        <f>M68+M71+M72+M83+M90+M91</f>
        <v>16</v>
      </c>
      <c r="N66" s="43">
        <f>N68+N71+N72+N83+N90+N91</f>
        <v>16</v>
      </c>
      <c r="O66" s="219">
        <f>O68+O71+O72+O83+O90+O91</f>
        <v>164</v>
      </c>
      <c r="P66" s="43">
        <f aca="true" t="shared" si="7" ref="P66:AD66">P68+P71+P72+P83+P90+P91</f>
        <v>54</v>
      </c>
      <c r="Q66" s="43">
        <f t="shared" si="7"/>
        <v>54</v>
      </c>
      <c r="R66" s="43">
        <f t="shared" si="7"/>
        <v>56</v>
      </c>
      <c r="S66" s="219">
        <f t="shared" si="7"/>
        <v>164</v>
      </c>
      <c r="T66" s="43">
        <f t="shared" si="7"/>
        <v>54</v>
      </c>
      <c r="U66" s="43">
        <f t="shared" si="7"/>
        <v>54</v>
      </c>
      <c r="V66" s="43">
        <f t="shared" si="7"/>
        <v>56</v>
      </c>
      <c r="W66" s="219">
        <f t="shared" si="7"/>
        <v>164</v>
      </c>
      <c r="X66" s="43">
        <f t="shared" si="7"/>
        <v>54</v>
      </c>
      <c r="Y66" s="43">
        <f t="shared" si="7"/>
        <v>54</v>
      </c>
      <c r="Z66" s="43">
        <f t="shared" si="7"/>
        <v>56</v>
      </c>
      <c r="AA66" s="219">
        <f t="shared" si="7"/>
        <v>163</v>
      </c>
      <c r="AB66" s="43">
        <f t="shared" si="7"/>
        <v>54</v>
      </c>
      <c r="AC66" s="43">
        <f t="shared" si="7"/>
        <v>54</v>
      </c>
      <c r="AD66" s="43">
        <f t="shared" si="7"/>
        <v>55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639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160</v>
      </c>
      <c r="P68" s="45">
        <f aca="true" t="shared" si="8" ref="P68:AD68">P69+P70+P71</f>
        <v>53</v>
      </c>
      <c r="Q68" s="45">
        <f t="shared" si="8"/>
        <v>53</v>
      </c>
      <c r="R68" s="45">
        <f t="shared" si="8"/>
        <v>54</v>
      </c>
      <c r="S68" s="216">
        <f t="shared" si="8"/>
        <v>160</v>
      </c>
      <c r="T68" s="45">
        <f t="shared" si="8"/>
        <v>53</v>
      </c>
      <c r="U68" s="45">
        <f t="shared" si="8"/>
        <v>53</v>
      </c>
      <c r="V68" s="45">
        <f t="shared" si="8"/>
        <v>54</v>
      </c>
      <c r="W68" s="216">
        <f t="shared" si="8"/>
        <v>160</v>
      </c>
      <c r="X68" s="45">
        <f t="shared" si="8"/>
        <v>53</v>
      </c>
      <c r="Y68" s="45">
        <f t="shared" si="8"/>
        <v>53</v>
      </c>
      <c r="Z68" s="45">
        <f t="shared" si="8"/>
        <v>54</v>
      </c>
      <c r="AA68" s="216">
        <f t="shared" si="8"/>
        <v>159</v>
      </c>
      <c r="AB68" s="45">
        <f t="shared" si="8"/>
        <v>53</v>
      </c>
      <c r="AC68" s="45">
        <f t="shared" si="8"/>
        <v>53</v>
      </c>
      <c r="AD68" s="45">
        <f t="shared" si="8"/>
        <v>53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639</v>
      </c>
      <c r="O69" s="214">
        <v>160</v>
      </c>
      <c r="P69" s="184">
        <v>53</v>
      </c>
      <c r="Q69" s="184">
        <v>53</v>
      </c>
      <c r="R69" s="184">
        <v>54</v>
      </c>
      <c r="S69" s="214">
        <v>160</v>
      </c>
      <c r="T69" s="184">
        <v>53</v>
      </c>
      <c r="U69" s="184">
        <v>53</v>
      </c>
      <c r="V69" s="184">
        <v>54</v>
      </c>
      <c r="W69" s="214">
        <v>160</v>
      </c>
      <c r="X69" s="184">
        <v>53</v>
      </c>
      <c r="Y69" s="184">
        <v>53</v>
      </c>
      <c r="Z69" s="184">
        <v>54</v>
      </c>
      <c r="AA69" s="214">
        <v>159</v>
      </c>
      <c r="AB69" s="184">
        <v>53</v>
      </c>
      <c r="AC69" s="184">
        <v>53</v>
      </c>
      <c r="AD69" s="184">
        <v>53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16</v>
      </c>
      <c r="L90" s="67">
        <v>16</v>
      </c>
      <c r="M90" s="67">
        <v>16</v>
      </c>
      <c r="N90" s="67">
        <v>16</v>
      </c>
      <c r="O90" s="299">
        <v>4</v>
      </c>
      <c r="P90" s="67">
        <v>1</v>
      </c>
      <c r="Q90" s="67">
        <v>1</v>
      </c>
      <c r="R90" s="67">
        <v>2</v>
      </c>
      <c r="S90" s="299">
        <v>4</v>
      </c>
      <c r="T90" s="67">
        <v>1</v>
      </c>
      <c r="U90" s="67">
        <v>1</v>
      </c>
      <c r="V90" s="67">
        <v>2</v>
      </c>
      <c r="W90" s="299">
        <v>4</v>
      </c>
      <c r="X90" s="67">
        <v>1</v>
      </c>
      <c r="Y90" s="67">
        <v>1</v>
      </c>
      <c r="Z90" s="67">
        <v>2</v>
      </c>
      <c r="AA90" s="299">
        <v>4</v>
      </c>
      <c r="AB90" s="67">
        <v>1</v>
      </c>
      <c r="AC90" s="67">
        <v>1</v>
      </c>
      <c r="AD90" s="6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63.2</v>
      </c>
      <c r="L92" s="43">
        <f>L93+L95</f>
        <v>0</v>
      </c>
      <c r="M92" s="43">
        <f>M93+M95</f>
        <v>0</v>
      </c>
      <c r="N92" s="43">
        <f>N93+N95</f>
        <v>0</v>
      </c>
      <c r="O92" s="219">
        <f>O93+O95</f>
        <v>15</v>
      </c>
      <c r="P92" s="43">
        <f aca="true" t="shared" si="9" ref="P92:AD92">P93+P95</f>
        <v>5</v>
      </c>
      <c r="Q92" s="43">
        <f t="shared" si="9"/>
        <v>5</v>
      </c>
      <c r="R92" s="43">
        <f t="shared" si="9"/>
        <v>5</v>
      </c>
      <c r="S92" s="219">
        <f t="shared" si="9"/>
        <v>16</v>
      </c>
      <c r="T92" s="43">
        <f t="shared" si="9"/>
        <v>5</v>
      </c>
      <c r="U92" s="43">
        <f t="shared" si="9"/>
        <v>5</v>
      </c>
      <c r="V92" s="43">
        <f t="shared" si="9"/>
        <v>6</v>
      </c>
      <c r="W92" s="219">
        <f t="shared" si="9"/>
        <v>15.2</v>
      </c>
      <c r="X92" s="43">
        <f t="shared" si="9"/>
        <v>5</v>
      </c>
      <c r="Y92" s="43">
        <f t="shared" si="9"/>
        <v>5</v>
      </c>
      <c r="Z92" s="43">
        <f t="shared" si="9"/>
        <v>5.2</v>
      </c>
      <c r="AA92" s="219">
        <f t="shared" si="9"/>
        <v>17</v>
      </c>
      <c r="AB92" s="43">
        <f t="shared" si="9"/>
        <v>5.5</v>
      </c>
      <c r="AC92" s="43">
        <f t="shared" si="9"/>
        <v>5.2</v>
      </c>
      <c r="AD92" s="43">
        <f t="shared" si="9"/>
        <v>6.5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62</v>
      </c>
      <c r="L93" s="108">
        <f>L94</f>
        <v>0</v>
      </c>
      <c r="M93" s="108">
        <f>M94</f>
        <v>0</v>
      </c>
      <c r="N93" s="108">
        <f>N94</f>
        <v>0</v>
      </c>
      <c r="O93" s="225">
        <f>O94</f>
        <v>15</v>
      </c>
      <c r="P93" s="108">
        <f aca="true" t="shared" si="10" ref="P93:AD93">P94</f>
        <v>5</v>
      </c>
      <c r="Q93" s="108">
        <f t="shared" si="10"/>
        <v>5</v>
      </c>
      <c r="R93" s="108">
        <f t="shared" si="10"/>
        <v>5</v>
      </c>
      <c r="S93" s="225">
        <f t="shared" si="10"/>
        <v>16</v>
      </c>
      <c r="T93" s="108">
        <f t="shared" si="10"/>
        <v>5</v>
      </c>
      <c r="U93" s="108">
        <f t="shared" si="10"/>
        <v>5</v>
      </c>
      <c r="V93" s="108">
        <f t="shared" si="10"/>
        <v>6</v>
      </c>
      <c r="W93" s="225">
        <f t="shared" si="10"/>
        <v>15</v>
      </c>
      <c r="X93" s="108">
        <f t="shared" si="10"/>
        <v>5</v>
      </c>
      <c r="Y93" s="108">
        <f t="shared" si="10"/>
        <v>5</v>
      </c>
      <c r="Z93" s="108">
        <f t="shared" si="10"/>
        <v>5</v>
      </c>
      <c r="AA93" s="225">
        <f t="shared" si="10"/>
        <v>16</v>
      </c>
      <c r="AB93" s="108">
        <f t="shared" si="10"/>
        <v>5</v>
      </c>
      <c r="AC93" s="108">
        <f t="shared" si="10"/>
        <v>5</v>
      </c>
      <c r="AD93" s="108">
        <f t="shared" si="10"/>
        <v>6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62</v>
      </c>
      <c r="O94" s="214">
        <v>15</v>
      </c>
      <c r="P94" s="184">
        <v>5</v>
      </c>
      <c r="Q94" s="184">
        <v>5</v>
      </c>
      <c r="R94" s="184">
        <v>5</v>
      </c>
      <c r="S94" s="214">
        <v>16</v>
      </c>
      <c r="T94" s="184">
        <v>5</v>
      </c>
      <c r="U94" s="184">
        <v>5</v>
      </c>
      <c r="V94" s="184">
        <v>6</v>
      </c>
      <c r="W94" s="214">
        <v>15</v>
      </c>
      <c r="X94" s="184">
        <v>5</v>
      </c>
      <c r="Y94" s="184">
        <v>5</v>
      </c>
      <c r="Z94" s="184">
        <v>5</v>
      </c>
      <c r="AA94" s="214">
        <v>16</v>
      </c>
      <c r="AB94" s="184">
        <v>5</v>
      </c>
      <c r="AC94" s="184">
        <v>5</v>
      </c>
      <c r="AD94" s="184">
        <v>6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v>1.2</v>
      </c>
      <c r="L95" s="108">
        <f>L96</f>
        <v>0</v>
      </c>
      <c r="M95" s="108">
        <f>M96</f>
        <v>0</v>
      </c>
      <c r="N95" s="108">
        <f>N96</f>
        <v>0</v>
      </c>
      <c r="O95" s="225">
        <f>O96</f>
        <v>0</v>
      </c>
      <c r="P95" s="108">
        <f aca="true" t="shared" si="11" ref="P95:AD95">P96</f>
        <v>0</v>
      </c>
      <c r="Q95" s="108">
        <f t="shared" si="11"/>
        <v>0</v>
      </c>
      <c r="R95" s="108">
        <f t="shared" si="11"/>
        <v>0</v>
      </c>
      <c r="S95" s="225">
        <f t="shared" si="11"/>
        <v>0</v>
      </c>
      <c r="T95" s="108">
        <f t="shared" si="11"/>
        <v>0</v>
      </c>
      <c r="U95" s="108">
        <f t="shared" si="11"/>
        <v>0</v>
      </c>
      <c r="V95" s="108">
        <f t="shared" si="11"/>
        <v>0</v>
      </c>
      <c r="W95" s="225">
        <v>0.2</v>
      </c>
      <c r="X95" s="108">
        <f t="shared" si="11"/>
        <v>0</v>
      </c>
      <c r="Y95" s="108">
        <f t="shared" si="11"/>
        <v>0</v>
      </c>
      <c r="Z95" s="108">
        <v>0.2</v>
      </c>
      <c r="AA95" s="225">
        <f t="shared" si="11"/>
        <v>1</v>
      </c>
      <c r="AB95" s="108">
        <f t="shared" si="11"/>
        <v>0.5</v>
      </c>
      <c r="AC95" s="108">
        <f t="shared" si="11"/>
        <v>0.2</v>
      </c>
      <c r="AD95" s="108">
        <f t="shared" si="11"/>
        <v>0.5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1</v>
      </c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>
        <v>1</v>
      </c>
      <c r="AB96" s="184">
        <v>0.5</v>
      </c>
      <c r="AC96" s="184">
        <v>0.2</v>
      </c>
      <c r="AD96" s="184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1205.2</v>
      </c>
      <c r="L97" s="51">
        <f>L23+L66+L92</f>
        <v>16</v>
      </c>
      <c r="M97" s="51">
        <f>M23+M66+M92</f>
        <v>16</v>
      </c>
      <c r="N97" s="51">
        <f>N23+N66+N92</f>
        <v>16</v>
      </c>
      <c r="O97" s="226">
        <f>O23+O66+O92</f>
        <v>299</v>
      </c>
      <c r="P97" s="51">
        <f aca="true" t="shared" si="12" ref="P97:AD97">P23+P66+P92</f>
        <v>84</v>
      </c>
      <c r="Q97" s="51">
        <f t="shared" si="12"/>
        <v>105</v>
      </c>
      <c r="R97" s="51">
        <f t="shared" si="12"/>
        <v>110</v>
      </c>
      <c r="S97" s="226">
        <f t="shared" si="12"/>
        <v>301</v>
      </c>
      <c r="T97" s="51">
        <f t="shared" si="12"/>
        <v>98</v>
      </c>
      <c r="U97" s="51">
        <f t="shared" si="12"/>
        <v>98</v>
      </c>
      <c r="V97" s="51">
        <f t="shared" si="12"/>
        <v>105</v>
      </c>
      <c r="W97" s="226">
        <f t="shared" si="12"/>
        <v>303.2</v>
      </c>
      <c r="X97" s="51">
        <f t="shared" si="12"/>
        <v>98</v>
      </c>
      <c r="Y97" s="51">
        <f t="shared" si="12"/>
        <v>98</v>
      </c>
      <c r="Z97" s="51">
        <f t="shared" si="12"/>
        <v>107.2</v>
      </c>
      <c r="AA97" s="226">
        <f t="shared" si="12"/>
        <v>302</v>
      </c>
      <c r="AB97" s="51">
        <f t="shared" si="12"/>
        <v>98.5</v>
      </c>
      <c r="AC97" s="51">
        <f t="shared" si="12"/>
        <v>101.2</v>
      </c>
      <c r="AD97" s="51">
        <f t="shared" si="12"/>
        <v>102.5</v>
      </c>
    </row>
    <row r="98" spans="15:27" ht="12.75">
      <c r="O98" s="210">
        <f>SUM(P97:R97)</f>
        <v>299</v>
      </c>
      <c r="S98" s="210">
        <f>SUM(T97:V97)</f>
        <v>301</v>
      </c>
      <c r="W98" s="210">
        <f>SUM(X97:Z97)</f>
        <v>303.2</v>
      </c>
      <c r="AA98" s="210">
        <f>SUM(AB97:AD97)</f>
        <v>302.2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22">
      <pane xSplit="6735" ySplit="720" topLeftCell="I78" activePane="bottomRight" state="split"/>
      <selection pane="topLeft" activeCell="A25" sqref="A25:IV27"/>
      <selection pane="topRight" activeCell="AA22" sqref="AA1:AA16384"/>
      <selection pane="bottomLeft" activeCell="A84" sqref="A84:IV84"/>
      <selection pane="bottom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126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291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 aca="true" t="shared" si="0" ref="O23:AD23">O24+O31+O34+O38+O41+O47+O55+O64+O65+O61</f>
        <v>72</v>
      </c>
      <c r="P23" s="102">
        <f t="shared" si="0"/>
        <v>15.5</v>
      </c>
      <c r="Q23" s="102">
        <f t="shared" si="0"/>
        <v>27.5</v>
      </c>
      <c r="R23" s="102">
        <f t="shared" si="0"/>
        <v>29</v>
      </c>
      <c r="S23" s="215">
        <f t="shared" si="0"/>
        <v>73</v>
      </c>
      <c r="T23" s="102">
        <f t="shared" si="0"/>
        <v>23.5</v>
      </c>
      <c r="U23" s="102">
        <f t="shared" si="0"/>
        <v>23.5</v>
      </c>
      <c r="V23" s="102">
        <f t="shared" si="0"/>
        <v>26</v>
      </c>
      <c r="W23" s="215">
        <f t="shared" si="0"/>
        <v>72</v>
      </c>
      <c r="X23" s="102">
        <f t="shared" si="0"/>
        <v>23.5</v>
      </c>
      <c r="Y23" s="102">
        <f t="shared" si="0"/>
        <v>23.5</v>
      </c>
      <c r="Z23" s="102">
        <f t="shared" si="0"/>
        <v>25</v>
      </c>
      <c r="AA23" s="215">
        <f t="shared" si="0"/>
        <v>74</v>
      </c>
      <c r="AB23" s="102">
        <f t="shared" si="0"/>
        <v>23.5</v>
      </c>
      <c r="AC23" s="102">
        <f t="shared" si="0"/>
        <v>25.5</v>
      </c>
      <c r="AD23" s="102">
        <f t="shared" si="0"/>
        <v>25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253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63</v>
      </c>
      <c r="P24" s="45">
        <f aca="true" t="shared" si="1" ref="P24:AD24">P25</f>
        <v>13</v>
      </c>
      <c r="Q24" s="45">
        <f t="shared" si="1"/>
        <v>25</v>
      </c>
      <c r="R24" s="45">
        <f t="shared" si="1"/>
        <v>25</v>
      </c>
      <c r="S24" s="216">
        <f t="shared" si="1"/>
        <v>64</v>
      </c>
      <c r="T24" s="45">
        <f t="shared" si="1"/>
        <v>21</v>
      </c>
      <c r="U24" s="45">
        <f t="shared" si="1"/>
        <v>21</v>
      </c>
      <c r="V24" s="45">
        <f t="shared" si="1"/>
        <v>22</v>
      </c>
      <c r="W24" s="216">
        <f t="shared" si="1"/>
        <v>63</v>
      </c>
      <c r="X24" s="45">
        <f t="shared" si="1"/>
        <v>21</v>
      </c>
      <c r="Y24" s="45">
        <f t="shared" si="1"/>
        <v>21</v>
      </c>
      <c r="Z24" s="45">
        <f t="shared" si="1"/>
        <v>21</v>
      </c>
      <c r="AA24" s="216">
        <f t="shared" si="1"/>
        <v>63</v>
      </c>
      <c r="AB24" s="45">
        <f t="shared" si="1"/>
        <v>21</v>
      </c>
      <c r="AC24" s="45">
        <f t="shared" si="1"/>
        <v>21</v>
      </c>
      <c r="AD24" s="45">
        <f t="shared" si="1"/>
        <v>21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63</v>
      </c>
      <c r="P25" s="45">
        <f aca="true" t="shared" si="2" ref="P25:AD25">P26+P27+P30</f>
        <v>13</v>
      </c>
      <c r="Q25" s="45">
        <f t="shared" si="2"/>
        <v>25</v>
      </c>
      <c r="R25" s="45">
        <f t="shared" si="2"/>
        <v>25</v>
      </c>
      <c r="S25" s="216">
        <f t="shared" si="2"/>
        <v>64</v>
      </c>
      <c r="T25" s="45">
        <f t="shared" si="2"/>
        <v>21</v>
      </c>
      <c r="U25" s="45">
        <f t="shared" si="2"/>
        <v>21</v>
      </c>
      <c r="V25" s="45">
        <f t="shared" si="2"/>
        <v>22</v>
      </c>
      <c r="W25" s="216">
        <f t="shared" si="2"/>
        <v>63</v>
      </c>
      <c r="X25" s="45">
        <f t="shared" si="2"/>
        <v>21</v>
      </c>
      <c r="Y25" s="45">
        <f t="shared" si="2"/>
        <v>21</v>
      </c>
      <c r="Z25" s="45">
        <f t="shared" si="2"/>
        <v>21</v>
      </c>
      <c r="AA25" s="216">
        <f t="shared" si="2"/>
        <v>63</v>
      </c>
      <c r="AB25" s="45">
        <f t="shared" si="2"/>
        <v>21</v>
      </c>
      <c r="AC25" s="45">
        <f t="shared" si="2"/>
        <v>21</v>
      </c>
      <c r="AD25" s="45">
        <f t="shared" si="2"/>
        <v>21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253</v>
      </c>
      <c r="O27" s="214">
        <v>63</v>
      </c>
      <c r="P27" s="184">
        <v>13</v>
      </c>
      <c r="Q27" s="184">
        <v>25</v>
      </c>
      <c r="R27" s="184">
        <v>25</v>
      </c>
      <c r="S27" s="214">
        <v>64</v>
      </c>
      <c r="T27" s="184">
        <v>21</v>
      </c>
      <c r="U27" s="184">
        <v>21</v>
      </c>
      <c r="V27" s="184">
        <v>22</v>
      </c>
      <c r="W27" s="214">
        <v>63</v>
      </c>
      <c r="X27" s="184">
        <v>21</v>
      </c>
      <c r="Y27" s="184">
        <v>21</v>
      </c>
      <c r="Z27" s="184">
        <v>21</v>
      </c>
      <c r="AA27" s="214">
        <v>63</v>
      </c>
      <c r="AB27" s="184">
        <v>21</v>
      </c>
      <c r="AC27" s="184">
        <v>21</v>
      </c>
      <c r="AD27" s="184">
        <v>21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253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63</v>
      </c>
      <c r="P28" s="47">
        <v>13</v>
      </c>
      <c r="Q28" s="47">
        <v>25</v>
      </c>
      <c r="R28" s="47">
        <v>25</v>
      </c>
      <c r="S28" s="217">
        <f>S27</f>
        <v>64</v>
      </c>
      <c r="T28" s="47">
        <v>21</v>
      </c>
      <c r="U28" s="47">
        <v>21</v>
      </c>
      <c r="V28" s="47">
        <v>22</v>
      </c>
      <c r="W28" s="217">
        <f>W27</f>
        <v>63</v>
      </c>
      <c r="X28" s="47">
        <v>21</v>
      </c>
      <c r="Y28" s="47">
        <v>21</v>
      </c>
      <c r="Z28" s="47">
        <v>21</v>
      </c>
      <c r="AA28" s="217">
        <f>AA27</f>
        <v>63</v>
      </c>
      <c r="AB28" s="47">
        <v>21</v>
      </c>
      <c r="AC28" s="47">
        <v>21</v>
      </c>
      <c r="AD28" s="47">
        <v>21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3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19">
        <f t="shared" si="3"/>
        <v>2</v>
      </c>
      <c r="AB34" s="43">
        <f t="shared" si="3"/>
        <v>0</v>
      </c>
      <c r="AC34" s="43">
        <f t="shared" si="3"/>
        <v>2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3</v>
      </c>
      <c r="O35" s="214"/>
      <c r="P35" s="184"/>
      <c r="Q35" s="184"/>
      <c r="R35" s="184"/>
      <c r="S35" s="214"/>
      <c r="T35" s="184"/>
      <c r="U35" s="184"/>
      <c r="V35" s="184"/>
      <c r="W35" s="214">
        <f>3/3</f>
        <v>1</v>
      </c>
      <c r="X35" s="184"/>
      <c r="Y35" s="184"/>
      <c r="Z35" s="184">
        <v>1</v>
      </c>
      <c r="AA35" s="214">
        <v>2</v>
      </c>
      <c r="AB35" s="184"/>
      <c r="AC35" s="184">
        <v>2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0.5" customHeight="1" hidden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58">
        <f>K43+K45+K46+K44</f>
        <v>0</v>
      </c>
      <c r="L41" s="58">
        <f>L43+L45+L46+L44</f>
        <v>0</v>
      </c>
      <c r="M41" s="58">
        <f>M43+M45+M46+M44</f>
        <v>0</v>
      </c>
      <c r="N41" s="58">
        <f>N43+N45+N46+N44</f>
        <v>0</v>
      </c>
      <c r="O41" s="221">
        <f>O43+O45+O46+O44</f>
        <v>0</v>
      </c>
      <c r="P41" s="58"/>
      <c r="Q41" s="58"/>
      <c r="R41" s="58"/>
      <c r="S41" s="221">
        <f>S43+S45+S46+S44</f>
        <v>0</v>
      </c>
      <c r="T41" s="58"/>
      <c r="U41" s="58"/>
      <c r="V41" s="58"/>
      <c r="W41" s="221">
        <f>W43+W45+W46+W44</f>
        <v>0</v>
      </c>
      <c r="X41" s="58"/>
      <c r="Y41" s="58"/>
      <c r="Z41" s="58"/>
      <c r="AA41" s="221">
        <f>AA43+AA45+AA46+AA44</f>
        <v>0</v>
      </c>
      <c r="AB41" s="58"/>
      <c r="AC41" s="58"/>
      <c r="AD41" s="58"/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35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19">
        <f t="shared" si="4"/>
        <v>9</v>
      </c>
      <c r="P47" s="43">
        <f t="shared" si="4"/>
        <v>2.5</v>
      </c>
      <c r="Q47" s="43">
        <f t="shared" si="4"/>
        <v>2.5</v>
      </c>
      <c r="R47" s="43">
        <f t="shared" si="4"/>
        <v>4</v>
      </c>
      <c r="S47" s="219">
        <f t="shared" si="4"/>
        <v>9</v>
      </c>
      <c r="T47" s="43">
        <f t="shared" si="4"/>
        <v>2.5</v>
      </c>
      <c r="U47" s="43">
        <f t="shared" si="4"/>
        <v>2.5</v>
      </c>
      <c r="V47" s="43">
        <f t="shared" si="4"/>
        <v>4</v>
      </c>
      <c r="W47" s="219">
        <f t="shared" si="4"/>
        <v>8</v>
      </c>
      <c r="X47" s="43">
        <f t="shared" si="4"/>
        <v>2.5</v>
      </c>
      <c r="Y47" s="43">
        <f t="shared" si="4"/>
        <v>2.5</v>
      </c>
      <c r="Z47" s="43">
        <f t="shared" si="4"/>
        <v>3</v>
      </c>
      <c r="AA47" s="219">
        <f t="shared" si="4"/>
        <v>9</v>
      </c>
      <c r="AB47" s="43">
        <f t="shared" si="4"/>
        <v>2.5</v>
      </c>
      <c r="AC47" s="43">
        <f t="shared" si="4"/>
        <v>2.5</v>
      </c>
      <c r="AD47" s="43">
        <f t="shared" si="4"/>
        <v>4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45">
        <f>K50</f>
        <v>20</v>
      </c>
      <c r="L49" s="45">
        <f>L50</f>
        <v>0</v>
      </c>
      <c r="M49" s="45">
        <f>M50</f>
        <v>0</v>
      </c>
      <c r="N49" s="45">
        <f>N50</f>
        <v>0</v>
      </c>
      <c r="O49" s="216">
        <f>O50</f>
        <v>5</v>
      </c>
      <c r="P49" s="45">
        <f aca="true" t="shared" si="5" ref="P49:AD49">P50</f>
        <v>1.5</v>
      </c>
      <c r="Q49" s="45">
        <f t="shared" si="5"/>
        <v>1.5</v>
      </c>
      <c r="R49" s="45">
        <f t="shared" si="5"/>
        <v>2</v>
      </c>
      <c r="S49" s="216">
        <f t="shared" si="5"/>
        <v>5</v>
      </c>
      <c r="T49" s="45">
        <f t="shared" si="5"/>
        <v>1.5</v>
      </c>
      <c r="U49" s="45">
        <f t="shared" si="5"/>
        <v>1.5</v>
      </c>
      <c r="V49" s="45">
        <f t="shared" si="5"/>
        <v>2</v>
      </c>
      <c r="W49" s="216">
        <f t="shared" si="5"/>
        <v>5</v>
      </c>
      <c r="X49" s="45">
        <f t="shared" si="5"/>
        <v>1.5</v>
      </c>
      <c r="Y49" s="45">
        <f t="shared" si="5"/>
        <v>1.5</v>
      </c>
      <c r="Z49" s="45">
        <f t="shared" si="5"/>
        <v>2</v>
      </c>
      <c r="AA49" s="216">
        <f t="shared" si="5"/>
        <v>5</v>
      </c>
      <c r="AB49" s="45">
        <f t="shared" si="5"/>
        <v>1.5</v>
      </c>
      <c r="AC49" s="45">
        <f t="shared" si="5"/>
        <v>1.5</v>
      </c>
      <c r="AD49" s="45">
        <f t="shared" si="5"/>
        <v>2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45">
        <v>20</v>
      </c>
      <c r="O50" s="214">
        <f>20/4</f>
        <v>5</v>
      </c>
      <c r="P50" s="184">
        <v>1.5</v>
      </c>
      <c r="Q50" s="184">
        <v>1.5</v>
      </c>
      <c r="R50" s="184">
        <v>2</v>
      </c>
      <c r="S50" s="214">
        <v>5</v>
      </c>
      <c r="T50" s="184">
        <v>1.5</v>
      </c>
      <c r="U50" s="184">
        <v>1.5</v>
      </c>
      <c r="V50" s="184">
        <v>2</v>
      </c>
      <c r="W50" s="214">
        <v>5</v>
      </c>
      <c r="X50" s="184">
        <v>1.5</v>
      </c>
      <c r="Y50" s="184">
        <v>1.5</v>
      </c>
      <c r="Z50" s="184">
        <v>2</v>
      </c>
      <c r="AA50" s="214">
        <v>5</v>
      </c>
      <c r="AB50" s="184">
        <v>1.5</v>
      </c>
      <c r="AC50" s="184">
        <v>1.5</v>
      </c>
      <c r="AD50" s="184">
        <v>2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>
        <v>0</v>
      </c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>
        <v>0</v>
      </c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15</v>
      </c>
      <c r="L53" s="121">
        <f>L54</f>
        <v>0</v>
      </c>
      <c r="M53" s="121">
        <f>M54</f>
        <v>0</v>
      </c>
      <c r="N53" s="121">
        <f>N54</f>
        <v>0</v>
      </c>
      <c r="O53" s="222">
        <f>O54</f>
        <v>4</v>
      </c>
      <c r="P53" s="121">
        <f aca="true" t="shared" si="6" ref="P53:AD53">P54</f>
        <v>1</v>
      </c>
      <c r="Q53" s="121">
        <f t="shared" si="6"/>
        <v>1</v>
      </c>
      <c r="R53" s="121">
        <f t="shared" si="6"/>
        <v>2</v>
      </c>
      <c r="S53" s="222">
        <f t="shared" si="6"/>
        <v>4</v>
      </c>
      <c r="T53" s="121">
        <f t="shared" si="6"/>
        <v>1</v>
      </c>
      <c r="U53" s="121">
        <f t="shared" si="6"/>
        <v>1</v>
      </c>
      <c r="V53" s="121">
        <f t="shared" si="6"/>
        <v>2</v>
      </c>
      <c r="W53" s="222">
        <f t="shared" si="6"/>
        <v>3</v>
      </c>
      <c r="X53" s="121">
        <f t="shared" si="6"/>
        <v>1</v>
      </c>
      <c r="Y53" s="121">
        <f t="shared" si="6"/>
        <v>1</v>
      </c>
      <c r="Z53" s="121">
        <f t="shared" si="6"/>
        <v>1</v>
      </c>
      <c r="AA53" s="222">
        <f t="shared" si="6"/>
        <v>4</v>
      </c>
      <c r="AB53" s="121">
        <f t="shared" si="6"/>
        <v>1</v>
      </c>
      <c r="AC53" s="121">
        <f t="shared" si="6"/>
        <v>1</v>
      </c>
      <c r="AD53" s="121">
        <f t="shared" si="6"/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15</v>
      </c>
      <c r="O54" s="214">
        <v>4</v>
      </c>
      <c r="P54" s="184">
        <v>1</v>
      </c>
      <c r="Q54" s="184">
        <v>1</v>
      </c>
      <c r="R54" s="184">
        <v>2</v>
      </c>
      <c r="S54" s="214">
        <v>4</v>
      </c>
      <c r="T54" s="184">
        <v>1</v>
      </c>
      <c r="U54" s="184">
        <v>1</v>
      </c>
      <c r="V54" s="184">
        <v>2</v>
      </c>
      <c r="W54" s="214">
        <v>3</v>
      </c>
      <c r="X54" s="184">
        <v>1</v>
      </c>
      <c r="Y54" s="184">
        <v>1</v>
      </c>
      <c r="Z54" s="184">
        <v>1</v>
      </c>
      <c r="AA54" s="214">
        <v>4</v>
      </c>
      <c r="AB54" s="184">
        <v>1</v>
      </c>
      <c r="AC54" s="184">
        <v>1</v>
      </c>
      <c r="AD54" s="184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121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121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68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458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19">
        <f>O68+O71+O72+O83+O90+O91</f>
        <v>114</v>
      </c>
      <c r="P66" s="43">
        <f aca="true" t="shared" si="7" ref="P66:AD66">P68+P71+P72+P83+P90+P91</f>
        <v>38</v>
      </c>
      <c r="Q66" s="43">
        <f t="shared" si="7"/>
        <v>38</v>
      </c>
      <c r="R66" s="43">
        <f t="shared" si="7"/>
        <v>38</v>
      </c>
      <c r="S66" s="219">
        <f t="shared" si="7"/>
        <v>115</v>
      </c>
      <c r="T66" s="43">
        <f t="shared" si="7"/>
        <v>38</v>
      </c>
      <c r="U66" s="43">
        <f t="shared" si="7"/>
        <v>38</v>
      </c>
      <c r="V66" s="43">
        <f t="shared" si="7"/>
        <v>39</v>
      </c>
      <c r="W66" s="219">
        <f t="shared" si="7"/>
        <v>115</v>
      </c>
      <c r="X66" s="43">
        <f t="shared" si="7"/>
        <v>38</v>
      </c>
      <c r="Y66" s="43">
        <f t="shared" si="7"/>
        <v>38</v>
      </c>
      <c r="Z66" s="43">
        <f t="shared" si="7"/>
        <v>39</v>
      </c>
      <c r="AA66" s="219">
        <f t="shared" si="7"/>
        <v>114</v>
      </c>
      <c r="AB66" s="43">
        <f t="shared" si="7"/>
        <v>38</v>
      </c>
      <c r="AC66" s="43">
        <f t="shared" si="7"/>
        <v>38</v>
      </c>
      <c r="AD66" s="43">
        <f t="shared" si="7"/>
        <v>38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444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111</v>
      </c>
      <c r="P68" s="45">
        <f aca="true" t="shared" si="8" ref="P68:AD68">P69+P70+P71</f>
        <v>37</v>
      </c>
      <c r="Q68" s="45">
        <f t="shared" si="8"/>
        <v>37</v>
      </c>
      <c r="R68" s="45">
        <f t="shared" si="8"/>
        <v>37</v>
      </c>
      <c r="S68" s="216">
        <f t="shared" si="8"/>
        <v>111</v>
      </c>
      <c r="T68" s="45">
        <f t="shared" si="8"/>
        <v>37</v>
      </c>
      <c r="U68" s="45">
        <f t="shared" si="8"/>
        <v>37</v>
      </c>
      <c r="V68" s="45">
        <f t="shared" si="8"/>
        <v>37</v>
      </c>
      <c r="W68" s="216">
        <f t="shared" si="8"/>
        <v>111</v>
      </c>
      <c r="X68" s="45">
        <f t="shared" si="8"/>
        <v>37</v>
      </c>
      <c r="Y68" s="45">
        <f t="shared" si="8"/>
        <v>37</v>
      </c>
      <c r="Z68" s="45">
        <f t="shared" si="8"/>
        <v>37</v>
      </c>
      <c r="AA68" s="216">
        <f t="shared" si="8"/>
        <v>111</v>
      </c>
      <c r="AB68" s="45">
        <f t="shared" si="8"/>
        <v>37</v>
      </c>
      <c r="AC68" s="45">
        <f t="shared" si="8"/>
        <v>37</v>
      </c>
      <c r="AD68" s="45">
        <f t="shared" si="8"/>
        <v>37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444</v>
      </c>
      <c r="O69" s="214">
        <f>444/4</f>
        <v>111</v>
      </c>
      <c r="P69" s="184">
        <v>37</v>
      </c>
      <c r="Q69" s="184">
        <v>37</v>
      </c>
      <c r="R69" s="184">
        <v>37</v>
      </c>
      <c r="S69" s="214">
        <v>111</v>
      </c>
      <c r="T69" s="184">
        <v>37</v>
      </c>
      <c r="U69" s="184">
        <v>37</v>
      </c>
      <c r="V69" s="184">
        <v>37</v>
      </c>
      <c r="W69" s="214">
        <v>111</v>
      </c>
      <c r="X69" s="184">
        <v>37</v>
      </c>
      <c r="Y69" s="184">
        <v>37</v>
      </c>
      <c r="Z69" s="184">
        <v>37</v>
      </c>
      <c r="AA69" s="214">
        <v>111</v>
      </c>
      <c r="AB69" s="184">
        <v>37</v>
      </c>
      <c r="AC69" s="184">
        <v>37</v>
      </c>
      <c r="AD69" s="184">
        <v>37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/>
      <c r="O83" s="214"/>
      <c r="P83" s="184"/>
      <c r="Q83" s="184"/>
      <c r="R83" s="184"/>
      <c r="S83" s="214"/>
      <c r="T83" s="184"/>
      <c r="U83" s="184"/>
      <c r="V83" s="184"/>
      <c r="W83" s="214"/>
      <c r="X83" s="184"/>
      <c r="Y83" s="184"/>
      <c r="Z83" s="184"/>
      <c r="AA83" s="214"/>
      <c r="AB83" s="184"/>
      <c r="AC83" s="184"/>
      <c r="AD83" s="184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O84" s="214"/>
      <c r="P84" s="184"/>
      <c r="Q84" s="184"/>
      <c r="R84" s="184"/>
      <c r="S84" s="214"/>
      <c r="T84" s="184"/>
      <c r="U84" s="184"/>
      <c r="V84" s="184"/>
      <c r="W84" s="214"/>
      <c r="X84" s="184"/>
      <c r="Y84" s="184"/>
      <c r="Z84" s="184"/>
      <c r="AA84" s="214"/>
      <c r="AB84" s="184"/>
      <c r="AC84" s="184"/>
      <c r="AD84" s="184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14</v>
      </c>
      <c r="O90" s="214">
        <v>3</v>
      </c>
      <c r="P90" s="184">
        <v>1</v>
      </c>
      <c r="Q90" s="184">
        <v>1</v>
      </c>
      <c r="R90" s="184">
        <v>1</v>
      </c>
      <c r="S90" s="214">
        <v>4</v>
      </c>
      <c r="T90" s="184">
        <v>1</v>
      </c>
      <c r="U90" s="184">
        <v>1</v>
      </c>
      <c r="V90" s="184">
        <v>2</v>
      </c>
      <c r="W90" s="214">
        <v>4</v>
      </c>
      <c r="X90" s="184">
        <v>1</v>
      </c>
      <c r="Y90" s="184">
        <v>1</v>
      </c>
      <c r="Z90" s="184">
        <v>2</v>
      </c>
      <c r="AA90" s="214">
        <v>3</v>
      </c>
      <c r="AB90" s="184">
        <v>1</v>
      </c>
      <c r="AC90" s="184">
        <v>1</v>
      </c>
      <c r="AD90" s="184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41</v>
      </c>
      <c r="L92" s="43">
        <f>L94+L96</f>
        <v>0</v>
      </c>
      <c r="M92" s="43">
        <f>M94+M96</f>
        <v>0</v>
      </c>
      <c r="N92" s="43">
        <f>N94+N96</f>
        <v>0</v>
      </c>
      <c r="O92" s="219">
        <f>O94+O96</f>
        <v>16</v>
      </c>
      <c r="P92" s="43">
        <f aca="true" t="shared" si="9" ref="P92:AD92">P94+P96</f>
        <v>5</v>
      </c>
      <c r="Q92" s="43">
        <f t="shared" si="9"/>
        <v>5</v>
      </c>
      <c r="R92" s="43">
        <f t="shared" si="9"/>
        <v>6</v>
      </c>
      <c r="S92" s="219">
        <f t="shared" si="9"/>
        <v>10</v>
      </c>
      <c r="T92" s="43">
        <f t="shared" si="9"/>
        <v>3</v>
      </c>
      <c r="U92" s="43">
        <f t="shared" si="9"/>
        <v>3</v>
      </c>
      <c r="V92" s="43">
        <f t="shared" si="9"/>
        <v>4</v>
      </c>
      <c r="W92" s="219">
        <f t="shared" si="9"/>
        <v>10</v>
      </c>
      <c r="X92" s="43">
        <f t="shared" si="9"/>
        <v>3</v>
      </c>
      <c r="Y92" s="43">
        <f t="shared" si="9"/>
        <v>3</v>
      </c>
      <c r="Z92" s="43">
        <f t="shared" si="9"/>
        <v>4</v>
      </c>
      <c r="AA92" s="219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21">
        <f>K94</f>
        <v>41</v>
      </c>
      <c r="L93" s="121">
        <f>L94</f>
        <v>0</v>
      </c>
      <c r="M93" s="121">
        <f>M94</f>
        <v>0</v>
      </c>
      <c r="N93" s="121">
        <f>N94</f>
        <v>0</v>
      </c>
      <c r="O93" s="222">
        <f>O94</f>
        <v>16</v>
      </c>
      <c r="P93" s="121">
        <v>0.5</v>
      </c>
      <c r="Q93" s="121">
        <v>0.5</v>
      </c>
      <c r="R93" s="121">
        <v>1</v>
      </c>
      <c r="S93" s="222">
        <f>S94</f>
        <v>10</v>
      </c>
      <c r="T93" s="121">
        <f aca="true" t="shared" si="10" ref="T93:AD93">T94</f>
        <v>3</v>
      </c>
      <c r="U93" s="121">
        <f t="shared" si="10"/>
        <v>3</v>
      </c>
      <c r="V93" s="121">
        <f t="shared" si="10"/>
        <v>4</v>
      </c>
      <c r="W93" s="222">
        <f t="shared" si="10"/>
        <v>10</v>
      </c>
      <c r="X93" s="121">
        <f t="shared" si="10"/>
        <v>3</v>
      </c>
      <c r="Y93" s="121">
        <f t="shared" si="10"/>
        <v>3</v>
      </c>
      <c r="Z93" s="121">
        <f t="shared" si="10"/>
        <v>4</v>
      </c>
      <c r="AA93" s="222">
        <f t="shared" si="10"/>
        <v>5</v>
      </c>
      <c r="AB93" s="121">
        <f t="shared" si="10"/>
        <v>1</v>
      </c>
      <c r="AC93" s="121">
        <f t="shared" si="10"/>
        <v>2</v>
      </c>
      <c r="AD93" s="121">
        <f t="shared" si="10"/>
        <v>2</v>
      </c>
    </row>
    <row r="94" spans="1:30" ht="24.75" thickBo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41</v>
      </c>
      <c r="O94" s="214">
        <v>16</v>
      </c>
      <c r="P94" s="184">
        <v>5</v>
      </c>
      <c r="Q94" s="184">
        <v>5</v>
      </c>
      <c r="R94" s="184">
        <v>6</v>
      </c>
      <c r="S94" s="214">
        <v>10</v>
      </c>
      <c r="T94" s="184">
        <v>3</v>
      </c>
      <c r="U94" s="184">
        <v>3</v>
      </c>
      <c r="V94" s="184">
        <v>4</v>
      </c>
      <c r="W94" s="214">
        <v>10</v>
      </c>
      <c r="X94" s="184">
        <v>3</v>
      </c>
      <c r="Y94" s="184">
        <v>3</v>
      </c>
      <c r="Z94" s="184">
        <v>4</v>
      </c>
      <c r="AA94" s="214">
        <v>5</v>
      </c>
      <c r="AB94" s="184">
        <v>1</v>
      </c>
      <c r="AC94" s="184">
        <v>2</v>
      </c>
      <c r="AD94" s="184">
        <v>2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0</v>
      </c>
      <c r="O95" s="214"/>
      <c r="P95" s="184"/>
      <c r="Q95" s="184"/>
      <c r="R95" s="184"/>
      <c r="S95" s="214"/>
      <c r="T95" s="184"/>
      <c r="U95" s="184"/>
      <c r="V95" s="184"/>
      <c r="W95" s="214"/>
      <c r="X95" s="184"/>
      <c r="Y95" s="184"/>
      <c r="Z95" s="184"/>
      <c r="AA95" s="214"/>
      <c r="AB95" s="184"/>
      <c r="AC95" s="184"/>
      <c r="AD95" s="184"/>
    </row>
    <row r="96" spans="1:30" ht="24.75" hidden="1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/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/>
      <c r="AB96" s="184"/>
      <c r="AC96" s="184"/>
      <c r="AD96" s="184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790</v>
      </c>
      <c r="L97" s="51">
        <f>L23+L66+L92</f>
        <v>0</v>
      </c>
      <c r="M97" s="51">
        <f>M23+M66+M92</f>
        <v>0</v>
      </c>
      <c r="N97" s="51">
        <f>N23+N66+N92</f>
        <v>0</v>
      </c>
      <c r="O97" s="226">
        <f>O23+O66+O92</f>
        <v>202</v>
      </c>
      <c r="P97" s="51">
        <f aca="true" t="shared" si="11" ref="P97:AD97">P23+P66+P92</f>
        <v>58.5</v>
      </c>
      <c r="Q97" s="51">
        <f t="shared" si="11"/>
        <v>70.5</v>
      </c>
      <c r="R97" s="51">
        <f t="shared" si="11"/>
        <v>73</v>
      </c>
      <c r="S97" s="226">
        <f t="shared" si="11"/>
        <v>198</v>
      </c>
      <c r="T97" s="51">
        <f t="shared" si="11"/>
        <v>64.5</v>
      </c>
      <c r="U97" s="51">
        <f t="shared" si="11"/>
        <v>64.5</v>
      </c>
      <c r="V97" s="51">
        <f t="shared" si="11"/>
        <v>69</v>
      </c>
      <c r="W97" s="226">
        <f t="shared" si="11"/>
        <v>197</v>
      </c>
      <c r="X97" s="51">
        <f t="shared" si="11"/>
        <v>64.5</v>
      </c>
      <c r="Y97" s="51">
        <f t="shared" si="11"/>
        <v>64.5</v>
      </c>
      <c r="Z97" s="51">
        <f t="shared" si="11"/>
        <v>68</v>
      </c>
      <c r="AA97" s="226">
        <f t="shared" si="11"/>
        <v>193</v>
      </c>
      <c r="AB97" s="51">
        <f t="shared" si="11"/>
        <v>62.5</v>
      </c>
      <c r="AC97" s="51">
        <f t="shared" si="11"/>
        <v>65.5</v>
      </c>
      <c r="AD97" s="51">
        <f t="shared" si="11"/>
        <v>65</v>
      </c>
    </row>
    <row r="98" spans="15:27" ht="12.75">
      <c r="O98" s="210">
        <f>SUM(P97:R97)</f>
        <v>202</v>
      </c>
      <c r="S98" s="210">
        <f>SUM(T97:V97)</f>
        <v>198</v>
      </c>
      <c r="W98" s="210">
        <f>SUM(X97:Z97)</f>
        <v>197</v>
      </c>
      <c r="AA98" s="210">
        <f>SUM(AB97:AD97)</f>
        <v>193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1">
      <pane xSplit="5820" topLeftCell="H1" activePane="topRight" state="split"/>
      <selection pane="topLeft" activeCell="B37" sqref="B37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147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346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 aca="true" t="shared" si="0" ref="O23:AD23">O24+O31+O34+O38+O41+O47+O55+O64+O65+O61</f>
        <v>84</v>
      </c>
      <c r="P23" s="102">
        <f t="shared" si="0"/>
        <v>16.5</v>
      </c>
      <c r="Q23" s="102">
        <f t="shared" si="0"/>
        <v>33.5</v>
      </c>
      <c r="R23" s="102">
        <f t="shared" si="0"/>
        <v>34</v>
      </c>
      <c r="S23" s="215">
        <f t="shared" si="0"/>
        <v>87</v>
      </c>
      <c r="T23" s="102">
        <f t="shared" si="0"/>
        <v>28.5</v>
      </c>
      <c r="U23" s="102">
        <f t="shared" si="0"/>
        <v>28.5</v>
      </c>
      <c r="V23" s="102">
        <f t="shared" si="0"/>
        <v>30</v>
      </c>
      <c r="W23" s="215">
        <f t="shared" si="0"/>
        <v>86</v>
      </c>
      <c r="X23" s="102">
        <f t="shared" si="0"/>
        <v>28</v>
      </c>
      <c r="Y23" s="102">
        <f t="shared" si="0"/>
        <v>28</v>
      </c>
      <c r="Z23" s="102">
        <f t="shared" si="0"/>
        <v>30</v>
      </c>
      <c r="AA23" s="215">
        <f t="shared" si="0"/>
        <v>89</v>
      </c>
      <c r="AB23" s="102">
        <f t="shared" si="0"/>
        <v>30</v>
      </c>
      <c r="AC23" s="102">
        <f t="shared" si="0"/>
        <v>30</v>
      </c>
      <c r="AD23" s="102">
        <f t="shared" si="0"/>
        <v>29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329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82</v>
      </c>
      <c r="P24" s="45">
        <f aca="true" t="shared" si="1" ref="P24:AD24">P25</f>
        <v>16</v>
      </c>
      <c r="Q24" s="45">
        <f t="shared" si="1"/>
        <v>33</v>
      </c>
      <c r="R24" s="45">
        <f t="shared" si="1"/>
        <v>33</v>
      </c>
      <c r="S24" s="216">
        <f t="shared" si="1"/>
        <v>83</v>
      </c>
      <c r="T24" s="45">
        <f t="shared" si="1"/>
        <v>27</v>
      </c>
      <c r="U24" s="45">
        <f t="shared" si="1"/>
        <v>27</v>
      </c>
      <c r="V24" s="45">
        <f t="shared" si="1"/>
        <v>29</v>
      </c>
      <c r="W24" s="216">
        <f t="shared" si="1"/>
        <v>82</v>
      </c>
      <c r="X24" s="45">
        <f t="shared" si="1"/>
        <v>27</v>
      </c>
      <c r="Y24" s="45">
        <f t="shared" si="1"/>
        <v>27</v>
      </c>
      <c r="Z24" s="45">
        <f t="shared" si="1"/>
        <v>28</v>
      </c>
      <c r="AA24" s="216">
        <f t="shared" si="1"/>
        <v>82</v>
      </c>
      <c r="AB24" s="45">
        <f t="shared" si="1"/>
        <v>27</v>
      </c>
      <c r="AC24" s="45">
        <f t="shared" si="1"/>
        <v>27</v>
      </c>
      <c r="AD24" s="45">
        <f t="shared" si="1"/>
        <v>28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329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82</v>
      </c>
      <c r="P25" s="45">
        <f aca="true" t="shared" si="2" ref="P25:AD25">P26+P27+P30</f>
        <v>16</v>
      </c>
      <c r="Q25" s="45">
        <f t="shared" si="2"/>
        <v>33</v>
      </c>
      <c r="R25" s="45">
        <f t="shared" si="2"/>
        <v>33</v>
      </c>
      <c r="S25" s="216">
        <f t="shared" si="2"/>
        <v>83</v>
      </c>
      <c r="T25" s="45">
        <f t="shared" si="2"/>
        <v>27</v>
      </c>
      <c r="U25" s="45">
        <f t="shared" si="2"/>
        <v>27</v>
      </c>
      <c r="V25" s="45">
        <f t="shared" si="2"/>
        <v>29</v>
      </c>
      <c r="W25" s="216">
        <f t="shared" si="2"/>
        <v>82</v>
      </c>
      <c r="X25" s="45">
        <f t="shared" si="2"/>
        <v>27</v>
      </c>
      <c r="Y25" s="45">
        <f t="shared" si="2"/>
        <v>27</v>
      </c>
      <c r="Z25" s="45">
        <f t="shared" si="2"/>
        <v>28</v>
      </c>
      <c r="AA25" s="216">
        <f t="shared" si="2"/>
        <v>82</v>
      </c>
      <c r="AB25" s="45">
        <f t="shared" si="2"/>
        <v>27</v>
      </c>
      <c r="AC25" s="45">
        <f t="shared" si="2"/>
        <v>27</v>
      </c>
      <c r="AD25" s="45">
        <f t="shared" si="2"/>
        <v>28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329</v>
      </c>
      <c r="O27" s="214">
        <v>82</v>
      </c>
      <c r="P27" s="184">
        <v>16</v>
      </c>
      <c r="Q27" s="184">
        <v>33</v>
      </c>
      <c r="R27" s="184">
        <v>33</v>
      </c>
      <c r="S27" s="214">
        <v>83</v>
      </c>
      <c r="T27" s="184">
        <v>27</v>
      </c>
      <c r="U27" s="184">
        <v>27</v>
      </c>
      <c r="V27" s="184">
        <v>29</v>
      </c>
      <c r="W27" s="214">
        <v>82</v>
      </c>
      <c r="X27" s="184">
        <v>27</v>
      </c>
      <c r="Y27" s="184">
        <v>27</v>
      </c>
      <c r="Z27" s="184">
        <v>28</v>
      </c>
      <c r="AA27" s="214">
        <v>82</v>
      </c>
      <c r="AB27" s="184">
        <v>27</v>
      </c>
      <c r="AC27" s="184">
        <v>27</v>
      </c>
      <c r="AD27" s="184">
        <v>28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329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82</v>
      </c>
      <c r="P28" s="47">
        <v>16</v>
      </c>
      <c r="Q28" s="47">
        <v>33</v>
      </c>
      <c r="R28" s="47">
        <v>33</v>
      </c>
      <c r="S28" s="217">
        <f>S27</f>
        <v>83</v>
      </c>
      <c r="T28" s="47">
        <v>27</v>
      </c>
      <c r="U28" s="47">
        <v>27</v>
      </c>
      <c r="V28" s="47">
        <v>29</v>
      </c>
      <c r="W28" s="217">
        <f>W27</f>
        <v>82</v>
      </c>
      <c r="X28" s="47">
        <v>27</v>
      </c>
      <c r="Y28" s="47">
        <v>27</v>
      </c>
      <c r="Z28" s="47">
        <v>28</v>
      </c>
      <c r="AA28" s="217">
        <f>AA27</f>
        <v>82</v>
      </c>
      <c r="AB28" s="47">
        <v>27</v>
      </c>
      <c r="AC28" s="47">
        <v>27</v>
      </c>
      <c r="AD28" s="47">
        <v>28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19">
        <f t="shared" si="3"/>
        <v>3</v>
      </c>
      <c r="AB34" s="43">
        <f t="shared" si="3"/>
        <v>1.5</v>
      </c>
      <c r="AC34" s="43">
        <f t="shared" si="3"/>
        <v>1.5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4</v>
      </c>
      <c r="O35" s="214"/>
      <c r="P35" s="184"/>
      <c r="Q35" s="184"/>
      <c r="R35" s="184"/>
      <c r="S35" s="214"/>
      <c r="T35" s="184"/>
      <c r="U35" s="184"/>
      <c r="V35" s="184"/>
      <c r="W35" s="214">
        <v>1</v>
      </c>
      <c r="X35" s="184"/>
      <c r="Y35" s="184"/>
      <c r="Z35" s="184">
        <v>1</v>
      </c>
      <c r="AA35" s="214">
        <v>3</v>
      </c>
      <c r="AB35" s="184">
        <v>1.5</v>
      </c>
      <c r="AC35" s="184">
        <v>1.5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124"/>
      <c r="Y41" s="124"/>
      <c r="Z41" s="124"/>
      <c r="AA41" s="270">
        <f>AA43+AA45+AA46+AA44</f>
        <v>0</v>
      </c>
      <c r="AB41" s="124"/>
      <c r="AC41" s="124"/>
      <c r="AD41" s="124"/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13</v>
      </c>
      <c r="L47" s="43">
        <f>L49+L53</f>
        <v>0</v>
      </c>
      <c r="M47" s="43">
        <f>M49+M53</f>
        <v>0</v>
      </c>
      <c r="N47" s="43">
        <f>N49+N53</f>
        <v>0</v>
      </c>
      <c r="O47" s="219">
        <f>O49+O53</f>
        <v>2</v>
      </c>
      <c r="P47" s="43">
        <f aca="true" t="shared" si="4" ref="P47:AD47">P49+P53</f>
        <v>0.5</v>
      </c>
      <c r="Q47" s="43">
        <f t="shared" si="4"/>
        <v>0.5</v>
      </c>
      <c r="R47" s="43">
        <f t="shared" si="4"/>
        <v>1</v>
      </c>
      <c r="S47" s="219">
        <f t="shared" si="4"/>
        <v>4</v>
      </c>
      <c r="T47" s="43">
        <f t="shared" si="4"/>
        <v>1.5</v>
      </c>
      <c r="U47" s="43">
        <f t="shared" si="4"/>
        <v>1.5</v>
      </c>
      <c r="V47" s="43">
        <f t="shared" si="4"/>
        <v>1</v>
      </c>
      <c r="W47" s="219">
        <f t="shared" si="4"/>
        <v>3</v>
      </c>
      <c r="X47" s="43">
        <f t="shared" si="4"/>
        <v>1</v>
      </c>
      <c r="Y47" s="43">
        <f t="shared" si="4"/>
        <v>1</v>
      </c>
      <c r="Z47" s="43">
        <f t="shared" si="4"/>
        <v>1</v>
      </c>
      <c r="AA47" s="219">
        <f t="shared" si="4"/>
        <v>4</v>
      </c>
      <c r="AB47" s="43">
        <f t="shared" si="4"/>
        <v>1.5</v>
      </c>
      <c r="AC47" s="43">
        <f t="shared" si="4"/>
        <v>1.5</v>
      </c>
      <c r="AD47" s="43">
        <f t="shared" si="4"/>
        <v>1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45">
        <f>K50</f>
        <v>3</v>
      </c>
      <c r="L49" s="45">
        <f>L50</f>
        <v>0</v>
      </c>
      <c r="M49" s="45">
        <f>M50</f>
        <v>0</v>
      </c>
      <c r="N49" s="45">
        <f>N50</f>
        <v>0</v>
      </c>
      <c r="O49" s="216">
        <f>O50</f>
        <v>0</v>
      </c>
      <c r="P49" s="45">
        <f aca="true" t="shared" si="5" ref="P49:AD49">P50</f>
        <v>0</v>
      </c>
      <c r="Q49" s="45">
        <f t="shared" si="5"/>
        <v>0</v>
      </c>
      <c r="R49" s="45">
        <f t="shared" si="5"/>
        <v>0</v>
      </c>
      <c r="S49" s="216">
        <f t="shared" si="5"/>
        <v>1</v>
      </c>
      <c r="T49" s="45">
        <f t="shared" si="5"/>
        <v>0.5</v>
      </c>
      <c r="U49" s="45">
        <f t="shared" si="5"/>
        <v>0.5</v>
      </c>
      <c r="V49" s="45">
        <f t="shared" si="5"/>
        <v>0</v>
      </c>
      <c r="W49" s="216">
        <f t="shared" si="5"/>
        <v>1</v>
      </c>
      <c r="X49" s="45">
        <f t="shared" si="5"/>
        <v>0.5</v>
      </c>
      <c r="Y49" s="45">
        <f t="shared" si="5"/>
        <v>0.5</v>
      </c>
      <c r="Z49" s="45">
        <f t="shared" si="5"/>
        <v>0</v>
      </c>
      <c r="AA49" s="216">
        <f t="shared" si="5"/>
        <v>1</v>
      </c>
      <c r="AB49" s="45">
        <f t="shared" si="5"/>
        <v>0.5</v>
      </c>
      <c r="AC49" s="45">
        <f t="shared" si="5"/>
        <v>0.5</v>
      </c>
      <c r="AD49" s="45">
        <f t="shared" si="5"/>
        <v>0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45">
        <v>3</v>
      </c>
      <c r="O50" s="214">
        <v>0</v>
      </c>
      <c r="P50" s="184"/>
      <c r="Q50" s="184"/>
      <c r="R50" s="184"/>
      <c r="S50" s="214">
        <v>1</v>
      </c>
      <c r="T50" s="184">
        <v>0.5</v>
      </c>
      <c r="U50" s="184">
        <v>0.5</v>
      </c>
      <c r="V50" s="184"/>
      <c r="W50" s="214">
        <v>1</v>
      </c>
      <c r="X50" s="184">
        <v>0.5</v>
      </c>
      <c r="Y50" s="184">
        <v>0.5</v>
      </c>
      <c r="Z50" s="184"/>
      <c r="AA50" s="214">
        <v>1</v>
      </c>
      <c r="AB50" s="184">
        <v>0.5</v>
      </c>
      <c r="AC50" s="184">
        <v>0.5</v>
      </c>
      <c r="AD50" s="184"/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47">
        <f>K54</f>
        <v>10</v>
      </c>
      <c r="L53" s="47">
        <f>L54</f>
        <v>0</v>
      </c>
      <c r="M53" s="47">
        <f>M54</f>
        <v>0</v>
      </c>
      <c r="N53" s="47">
        <f>N54</f>
        <v>0</v>
      </c>
      <c r="O53" s="217">
        <f>O54</f>
        <v>2</v>
      </c>
      <c r="P53" s="47">
        <f aca="true" t="shared" si="6" ref="P53:AD53">P54</f>
        <v>0.5</v>
      </c>
      <c r="Q53" s="47">
        <f t="shared" si="6"/>
        <v>0.5</v>
      </c>
      <c r="R53" s="47">
        <f t="shared" si="6"/>
        <v>1</v>
      </c>
      <c r="S53" s="217">
        <f t="shared" si="6"/>
        <v>3</v>
      </c>
      <c r="T53" s="47">
        <f t="shared" si="6"/>
        <v>1</v>
      </c>
      <c r="U53" s="47">
        <f t="shared" si="6"/>
        <v>1</v>
      </c>
      <c r="V53" s="47">
        <f t="shared" si="6"/>
        <v>1</v>
      </c>
      <c r="W53" s="217">
        <f t="shared" si="6"/>
        <v>2</v>
      </c>
      <c r="X53" s="47">
        <f t="shared" si="6"/>
        <v>0.5</v>
      </c>
      <c r="Y53" s="47">
        <f t="shared" si="6"/>
        <v>0.5</v>
      </c>
      <c r="Z53" s="47">
        <f t="shared" si="6"/>
        <v>1</v>
      </c>
      <c r="AA53" s="217">
        <f t="shared" si="6"/>
        <v>3</v>
      </c>
      <c r="AB53" s="47">
        <f t="shared" si="6"/>
        <v>1</v>
      </c>
      <c r="AC53" s="47">
        <f t="shared" si="6"/>
        <v>1</v>
      </c>
      <c r="AD53" s="47">
        <f t="shared" si="6"/>
        <v>1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67">
        <v>10</v>
      </c>
      <c r="O54" s="214">
        <v>2</v>
      </c>
      <c r="P54" s="184">
        <v>0.5</v>
      </c>
      <c r="Q54" s="184">
        <v>0.5</v>
      </c>
      <c r="R54" s="184">
        <v>1</v>
      </c>
      <c r="S54" s="214">
        <v>3</v>
      </c>
      <c r="T54" s="184">
        <v>1</v>
      </c>
      <c r="U54" s="184">
        <v>1</v>
      </c>
      <c r="V54" s="184">
        <v>1</v>
      </c>
      <c r="W54" s="214">
        <v>2</v>
      </c>
      <c r="X54" s="184">
        <v>0.5</v>
      </c>
      <c r="Y54" s="184">
        <v>0.5</v>
      </c>
      <c r="Z54" s="184">
        <v>1</v>
      </c>
      <c r="AA54" s="214">
        <v>3</v>
      </c>
      <c r="AB54" s="184">
        <v>1</v>
      </c>
      <c r="AC54" s="184">
        <v>1</v>
      </c>
      <c r="AD54" s="184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560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19">
        <f>O68+O71+O72+O83+O90+O91</f>
        <v>140</v>
      </c>
      <c r="P66" s="43">
        <f aca="true" t="shared" si="7" ref="P66:AD66">P68+P71+P72+P83+P90+P91</f>
        <v>46.5</v>
      </c>
      <c r="Q66" s="43">
        <f t="shared" si="7"/>
        <v>46.5</v>
      </c>
      <c r="R66" s="43">
        <f t="shared" si="7"/>
        <v>47</v>
      </c>
      <c r="S66" s="219">
        <f t="shared" si="7"/>
        <v>139.5</v>
      </c>
      <c r="T66" s="43">
        <f t="shared" si="7"/>
        <v>46.5</v>
      </c>
      <c r="U66" s="43">
        <f t="shared" si="7"/>
        <v>46</v>
      </c>
      <c r="V66" s="43">
        <f t="shared" si="7"/>
        <v>47</v>
      </c>
      <c r="W66" s="219">
        <f t="shared" si="7"/>
        <v>140.5</v>
      </c>
      <c r="X66" s="43">
        <f t="shared" si="7"/>
        <v>46</v>
      </c>
      <c r="Y66" s="43">
        <f t="shared" si="7"/>
        <v>47</v>
      </c>
      <c r="Z66" s="43">
        <f t="shared" si="7"/>
        <v>47.5</v>
      </c>
      <c r="AA66" s="219">
        <f t="shared" si="7"/>
        <v>140</v>
      </c>
      <c r="AB66" s="43">
        <f t="shared" si="7"/>
        <v>46.5</v>
      </c>
      <c r="AC66" s="43">
        <f t="shared" si="7"/>
        <v>46.5</v>
      </c>
      <c r="AD66" s="43">
        <f t="shared" si="7"/>
        <v>47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139</v>
      </c>
      <c r="P68" s="45">
        <f aca="true" t="shared" si="8" ref="P68:AD68">P69+P70+P71</f>
        <v>46</v>
      </c>
      <c r="Q68" s="45">
        <f t="shared" si="8"/>
        <v>46</v>
      </c>
      <c r="R68" s="45">
        <f t="shared" si="8"/>
        <v>47</v>
      </c>
      <c r="S68" s="216">
        <f t="shared" si="8"/>
        <v>139</v>
      </c>
      <c r="T68" s="45">
        <f t="shared" si="8"/>
        <v>46</v>
      </c>
      <c r="U68" s="45">
        <f t="shared" si="8"/>
        <v>46</v>
      </c>
      <c r="V68" s="45">
        <f t="shared" si="8"/>
        <v>47</v>
      </c>
      <c r="W68" s="216">
        <f t="shared" si="8"/>
        <v>140</v>
      </c>
      <c r="X68" s="45">
        <f t="shared" si="8"/>
        <v>46</v>
      </c>
      <c r="Y68" s="45">
        <f t="shared" si="8"/>
        <v>47</v>
      </c>
      <c r="Z68" s="45">
        <f t="shared" si="8"/>
        <v>47</v>
      </c>
      <c r="AA68" s="216">
        <f t="shared" si="8"/>
        <v>139</v>
      </c>
      <c r="AB68" s="45">
        <f t="shared" si="8"/>
        <v>46</v>
      </c>
      <c r="AC68" s="45">
        <f t="shared" si="8"/>
        <v>46</v>
      </c>
      <c r="AD68" s="45">
        <f t="shared" si="8"/>
        <v>47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557</v>
      </c>
      <c r="O69" s="214">
        <v>139</v>
      </c>
      <c r="P69" s="184">
        <v>46</v>
      </c>
      <c r="Q69" s="184">
        <v>46</v>
      </c>
      <c r="R69" s="184">
        <v>47</v>
      </c>
      <c r="S69" s="214">
        <v>139</v>
      </c>
      <c r="T69" s="184">
        <v>46</v>
      </c>
      <c r="U69" s="184">
        <v>46</v>
      </c>
      <c r="V69" s="184">
        <v>47</v>
      </c>
      <c r="W69" s="214">
        <v>140</v>
      </c>
      <c r="X69" s="184">
        <v>46</v>
      </c>
      <c r="Y69" s="184">
        <v>47</v>
      </c>
      <c r="Z69" s="184">
        <v>47</v>
      </c>
      <c r="AA69" s="214">
        <v>139</v>
      </c>
      <c r="AB69" s="184">
        <v>46</v>
      </c>
      <c r="AC69" s="184">
        <v>46</v>
      </c>
      <c r="AD69" s="184">
        <v>47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3</v>
      </c>
      <c r="O90" s="214">
        <v>1</v>
      </c>
      <c r="P90" s="184">
        <v>0.5</v>
      </c>
      <c r="Q90" s="184">
        <v>0.5</v>
      </c>
      <c r="R90" s="184"/>
      <c r="S90" s="214">
        <v>0.5</v>
      </c>
      <c r="T90" s="184">
        <v>0.5</v>
      </c>
      <c r="U90" s="184"/>
      <c r="V90" s="184"/>
      <c r="W90" s="214">
        <v>0.5</v>
      </c>
      <c r="X90" s="184"/>
      <c r="Y90" s="184"/>
      <c r="Z90" s="184">
        <v>0.5</v>
      </c>
      <c r="AA90" s="214">
        <v>1</v>
      </c>
      <c r="AB90" s="184">
        <v>0.5</v>
      </c>
      <c r="AC90" s="184">
        <v>0.5</v>
      </c>
      <c r="AD90" s="184"/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32</v>
      </c>
      <c r="L92" s="43">
        <f>L94+L96</f>
        <v>0</v>
      </c>
      <c r="M92" s="43">
        <f>M94+M96</f>
        <v>0</v>
      </c>
      <c r="N92" s="43">
        <f>N94+N96</f>
        <v>0</v>
      </c>
      <c r="O92" s="219">
        <f>O94+O96</f>
        <v>5</v>
      </c>
      <c r="P92" s="43">
        <f aca="true" t="shared" si="9" ref="P92:AD92">P94+P96</f>
        <v>1.5</v>
      </c>
      <c r="Q92" s="43">
        <f t="shared" si="9"/>
        <v>1.5</v>
      </c>
      <c r="R92" s="43">
        <f t="shared" si="9"/>
        <v>2</v>
      </c>
      <c r="S92" s="219">
        <f t="shared" si="9"/>
        <v>16.5</v>
      </c>
      <c r="T92" s="43">
        <f t="shared" si="9"/>
        <v>2</v>
      </c>
      <c r="U92" s="43">
        <f t="shared" si="9"/>
        <v>2</v>
      </c>
      <c r="V92" s="43">
        <f t="shared" si="9"/>
        <v>12.5</v>
      </c>
      <c r="W92" s="219">
        <f t="shared" si="9"/>
        <v>5</v>
      </c>
      <c r="X92" s="43">
        <f t="shared" si="9"/>
        <v>1.5</v>
      </c>
      <c r="Y92" s="43">
        <f t="shared" si="9"/>
        <v>1.5</v>
      </c>
      <c r="Z92" s="43">
        <f t="shared" si="9"/>
        <v>2</v>
      </c>
      <c r="AA92" s="219">
        <f t="shared" si="9"/>
        <v>5.5</v>
      </c>
      <c r="AB92" s="43">
        <f t="shared" si="9"/>
        <v>1.5</v>
      </c>
      <c r="AC92" s="43">
        <f t="shared" si="9"/>
        <v>1.5</v>
      </c>
      <c r="AD92" s="43">
        <f t="shared" si="9"/>
        <v>2.5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26</v>
      </c>
      <c r="L93" s="108">
        <f>L94</f>
        <v>0</v>
      </c>
      <c r="M93" s="108">
        <f>M94</f>
        <v>0</v>
      </c>
      <c r="N93" s="108">
        <f>N94</f>
        <v>0</v>
      </c>
      <c r="O93" s="225">
        <f>O94</f>
        <v>5</v>
      </c>
      <c r="P93" s="108">
        <f aca="true" t="shared" si="10" ref="P93:AD93">P94</f>
        <v>1.5</v>
      </c>
      <c r="Q93" s="108">
        <f t="shared" si="10"/>
        <v>1.5</v>
      </c>
      <c r="R93" s="108">
        <f t="shared" si="10"/>
        <v>2</v>
      </c>
      <c r="S93" s="225">
        <f t="shared" si="10"/>
        <v>11</v>
      </c>
      <c r="T93" s="108">
        <f t="shared" si="10"/>
        <v>2</v>
      </c>
      <c r="U93" s="108">
        <f t="shared" si="10"/>
        <v>2</v>
      </c>
      <c r="V93" s="108">
        <f t="shared" si="10"/>
        <v>7</v>
      </c>
      <c r="W93" s="225">
        <f t="shared" si="10"/>
        <v>5</v>
      </c>
      <c r="X93" s="108">
        <f t="shared" si="10"/>
        <v>1.5</v>
      </c>
      <c r="Y93" s="108">
        <f t="shared" si="10"/>
        <v>1.5</v>
      </c>
      <c r="Z93" s="108">
        <f t="shared" si="10"/>
        <v>2</v>
      </c>
      <c r="AA93" s="225">
        <f t="shared" si="10"/>
        <v>5</v>
      </c>
      <c r="AB93" s="108">
        <f t="shared" si="10"/>
        <v>1.5</v>
      </c>
      <c r="AC93" s="108">
        <f t="shared" si="10"/>
        <v>1.5</v>
      </c>
      <c r="AD93" s="108">
        <f t="shared" si="10"/>
        <v>2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f>21+5</f>
        <v>26</v>
      </c>
      <c r="O94" s="214">
        <v>5</v>
      </c>
      <c r="P94" s="184">
        <v>1.5</v>
      </c>
      <c r="Q94" s="184">
        <v>1.5</v>
      </c>
      <c r="R94" s="184">
        <v>2</v>
      </c>
      <c r="S94" s="214">
        <f>6+5</f>
        <v>11</v>
      </c>
      <c r="T94" s="184">
        <v>2</v>
      </c>
      <c r="U94" s="184">
        <v>2</v>
      </c>
      <c r="V94" s="184">
        <f>2+5</f>
        <v>7</v>
      </c>
      <c r="W94" s="214">
        <v>5</v>
      </c>
      <c r="X94" s="184">
        <v>1.5</v>
      </c>
      <c r="Y94" s="184">
        <v>1.5</v>
      </c>
      <c r="Z94" s="184">
        <v>2</v>
      </c>
      <c r="AA94" s="214">
        <v>5</v>
      </c>
      <c r="AB94" s="184">
        <v>1.5</v>
      </c>
      <c r="AC94" s="184">
        <v>1.5</v>
      </c>
      <c r="AD94" s="184">
        <v>2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6</v>
      </c>
      <c r="L95" s="108">
        <f>L96</f>
        <v>0</v>
      </c>
      <c r="M95" s="108">
        <f>M96</f>
        <v>0</v>
      </c>
      <c r="N95" s="108">
        <f>N96</f>
        <v>0</v>
      </c>
      <c r="O95" s="225">
        <f>O96</f>
        <v>0</v>
      </c>
      <c r="P95" s="108">
        <f aca="true" t="shared" si="11" ref="P95:AD95">P96</f>
        <v>0</v>
      </c>
      <c r="Q95" s="108">
        <f t="shared" si="11"/>
        <v>0</v>
      </c>
      <c r="R95" s="108">
        <f t="shared" si="11"/>
        <v>0</v>
      </c>
      <c r="S95" s="225">
        <f t="shared" si="11"/>
        <v>5.5</v>
      </c>
      <c r="T95" s="108">
        <f t="shared" si="11"/>
        <v>0</v>
      </c>
      <c r="U95" s="108">
        <f t="shared" si="11"/>
        <v>0</v>
      </c>
      <c r="V95" s="108">
        <f t="shared" si="11"/>
        <v>5.5</v>
      </c>
      <c r="W95" s="225">
        <f t="shared" si="11"/>
        <v>0</v>
      </c>
      <c r="X95" s="108">
        <f t="shared" si="11"/>
        <v>0</v>
      </c>
      <c r="Y95" s="108">
        <f t="shared" si="11"/>
        <v>0</v>
      </c>
      <c r="Z95" s="108">
        <f t="shared" si="11"/>
        <v>0</v>
      </c>
      <c r="AA95" s="225">
        <f t="shared" si="11"/>
        <v>0.5</v>
      </c>
      <c r="AB95" s="108">
        <f t="shared" si="11"/>
        <v>0</v>
      </c>
      <c r="AC95" s="108">
        <f t="shared" si="11"/>
        <v>0</v>
      </c>
      <c r="AD95" s="108">
        <f t="shared" si="11"/>
        <v>0.5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f>1+5</f>
        <v>6</v>
      </c>
      <c r="O96" s="214"/>
      <c r="P96" s="184"/>
      <c r="Q96" s="184"/>
      <c r="R96" s="184"/>
      <c r="S96" s="214">
        <f>0.5+5</f>
        <v>5.5</v>
      </c>
      <c r="T96" s="184"/>
      <c r="U96" s="184"/>
      <c r="V96" s="184">
        <f>0.5+5</f>
        <v>5.5</v>
      </c>
      <c r="W96" s="214"/>
      <c r="X96" s="184"/>
      <c r="Y96" s="184"/>
      <c r="Z96" s="184"/>
      <c r="AA96" s="214">
        <v>0.5</v>
      </c>
      <c r="AB96" s="184"/>
      <c r="AC96" s="184"/>
      <c r="AD96" s="184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938</v>
      </c>
      <c r="L97" s="51">
        <f>L23+L66+L92</f>
        <v>0</v>
      </c>
      <c r="M97" s="51">
        <f>M23+M66+M92</f>
        <v>0</v>
      </c>
      <c r="N97" s="51">
        <f>N23+N66+N92</f>
        <v>0</v>
      </c>
      <c r="O97" s="226">
        <f>O23+O66+O92</f>
        <v>229</v>
      </c>
      <c r="P97" s="51">
        <f aca="true" t="shared" si="12" ref="P97:AD97">P23+P66+P92</f>
        <v>64.5</v>
      </c>
      <c r="Q97" s="51">
        <f t="shared" si="12"/>
        <v>81.5</v>
      </c>
      <c r="R97" s="51">
        <f t="shared" si="12"/>
        <v>83</v>
      </c>
      <c r="S97" s="226">
        <f t="shared" si="12"/>
        <v>243</v>
      </c>
      <c r="T97" s="51">
        <f t="shared" si="12"/>
        <v>77</v>
      </c>
      <c r="U97" s="51">
        <f t="shared" si="12"/>
        <v>76.5</v>
      </c>
      <c r="V97" s="51">
        <f t="shared" si="12"/>
        <v>89.5</v>
      </c>
      <c r="W97" s="226">
        <f t="shared" si="12"/>
        <v>231.5</v>
      </c>
      <c r="X97" s="51">
        <f t="shared" si="12"/>
        <v>75.5</v>
      </c>
      <c r="Y97" s="51">
        <f t="shared" si="12"/>
        <v>76.5</v>
      </c>
      <c r="Z97" s="51">
        <f t="shared" si="12"/>
        <v>79.5</v>
      </c>
      <c r="AA97" s="226">
        <f t="shared" si="12"/>
        <v>234.5</v>
      </c>
      <c r="AB97" s="51">
        <f t="shared" si="12"/>
        <v>78</v>
      </c>
      <c r="AC97" s="51">
        <f t="shared" si="12"/>
        <v>78</v>
      </c>
      <c r="AD97" s="51">
        <f t="shared" si="12"/>
        <v>78.5</v>
      </c>
    </row>
    <row r="98" spans="15:27" ht="12.75">
      <c r="O98" s="210">
        <f>SUM(P97:R97)</f>
        <v>229</v>
      </c>
      <c r="S98" s="210">
        <f>SUM(T97:V97)</f>
        <v>243</v>
      </c>
      <c r="W98" s="210">
        <f>SUM(X97:Z97)</f>
        <v>231.5</v>
      </c>
      <c r="AA98" s="210">
        <f>SUM(AB97:AD97)</f>
        <v>234.5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4">
      <pane xSplit="6510" topLeftCell="I1" activePane="topRight" state="split"/>
      <selection pane="topLeft" activeCell="A84" sqref="A84:IV84"/>
      <selection pane="topRight" activeCell="Y53" sqref="Y53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03" t="s">
        <v>127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2.75">
      <c r="A12" s="36"/>
      <c r="B12" s="403" t="s">
        <v>120</v>
      </c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04" t="s">
        <v>0</v>
      </c>
      <c r="D16" s="404"/>
      <c r="E16" s="404"/>
      <c r="F16" s="404"/>
      <c r="G16" s="404"/>
      <c r="H16" s="404"/>
      <c r="I16" s="404"/>
      <c r="J16" s="405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06"/>
      <c r="D17" s="406"/>
      <c r="E17" s="406"/>
      <c r="F17" s="406"/>
      <c r="G17" s="406"/>
      <c r="H17" s="406"/>
      <c r="I17" s="406"/>
      <c r="J17" s="407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06"/>
      <c r="D18" s="406"/>
      <c r="E18" s="406"/>
      <c r="F18" s="406"/>
      <c r="G18" s="406"/>
      <c r="H18" s="406"/>
      <c r="I18" s="406"/>
      <c r="J18" s="407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06"/>
      <c r="D19" s="406"/>
      <c r="E19" s="406"/>
      <c r="F19" s="406"/>
      <c r="G19" s="406"/>
      <c r="H19" s="406"/>
      <c r="I19" s="406"/>
      <c r="J19" s="407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08"/>
      <c r="D20" s="408"/>
      <c r="E20" s="408"/>
      <c r="F20" s="408"/>
      <c r="G20" s="408"/>
      <c r="H20" s="408"/>
      <c r="I20" s="408"/>
      <c r="J20" s="409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10"/>
      <c r="D21" s="410"/>
      <c r="E21" s="410"/>
      <c r="F21" s="410"/>
      <c r="G21" s="410"/>
      <c r="H21" s="410"/>
      <c r="I21" s="410"/>
      <c r="J21" s="411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752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>O24+O31+O34+O38+O41+O47+O55+O64+O65+O61</f>
        <v>185</v>
      </c>
      <c r="P23" s="102">
        <f aca="true" t="shared" si="0" ref="P23:AD23">P24+P31+P34+P38+P41+P47+P55+P64+P65+P61</f>
        <v>39</v>
      </c>
      <c r="Q23" s="102">
        <f t="shared" si="0"/>
        <v>72</v>
      </c>
      <c r="R23" s="102">
        <f t="shared" si="0"/>
        <v>74</v>
      </c>
      <c r="S23" s="215">
        <f t="shared" si="0"/>
        <v>187</v>
      </c>
      <c r="T23" s="102">
        <f t="shared" si="0"/>
        <v>61</v>
      </c>
      <c r="U23" s="102">
        <f t="shared" si="0"/>
        <v>61</v>
      </c>
      <c r="V23" s="102">
        <f t="shared" si="0"/>
        <v>65</v>
      </c>
      <c r="W23" s="215">
        <f t="shared" si="0"/>
        <v>190</v>
      </c>
      <c r="X23" s="102">
        <f t="shared" si="0"/>
        <v>61</v>
      </c>
      <c r="Y23" s="102">
        <f t="shared" si="0"/>
        <v>61</v>
      </c>
      <c r="Z23" s="102">
        <f t="shared" si="0"/>
        <v>68</v>
      </c>
      <c r="AA23" s="215">
        <f t="shared" si="0"/>
        <v>190</v>
      </c>
      <c r="AB23" s="102">
        <f t="shared" si="0"/>
        <v>62</v>
      </c>
      <c r="AC23" s="102">
        <f t="shared" si="0"/>
        <v>65</v>
      </c>
      <c r="AD23" s="102">
        <f t="shared" si="0"/>
        <v>63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653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163</v>
      </c>
      <c r="P24" s="45">
        <f aca="true" t="shared" si="1" ref="P24:AD24">P25</f>
        <v>32</v>
      </c>
      <c r="Q24" s="45">
        <f t="shared" si="1"/>
        <v>65</v>
      </c>
      <c r="R24" s="45">
        <f t="shared" si="1"/>
        <v>66</v>
      </c>
      <c r="S24" s="216">
        <f t="shared" si="1"/>
        <v>164</v>
      </c>
      <c r="T24" s="45">
        <f t="shared" si="1"/>
        <v>54</v>
      </c>
      <c r="U24" s="45">
        <f t="shared" si="1"/>
        <v>54</v>
      </c>
      <c r="V24" s="45">
        <f t="shared" si="1"/>
        <v>56</v>
      </c>
      <c r="W24" s="216">
        <f t="shared" si="1"/>
        <v>163</v>
      </c>
      <c r="X24" s="45">
        <f t="shared" si="1"/>
        <v>54</v>
      </c>
      <c r="Y24" s="45">
        <f t="shared" si="1"/>
        <v>54</v>
      </c>
      <c r="Z24" s="45">
        <f t="shared" si="1"/>
        <v>55</v>
      </c>
      <c r="AA24" s="216">
        <f t="shared" si="1"/>
        <v>163</v>
      </c>
      <c r="AB24" s="45">
        <f t="shared" si="1"/>
        <v>54</v>
      </c>
      <c r="AC24" s="45">
        <f t="shared" si="1"/>
        <v>54</v>
      </c>
      <c r="AD24" s="45">
        <f t="shared" si="1"/>
        <v>55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653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163</v>
      </c>
      <c r="P25" s="45">
        <f aca="true" t="shared" si="2" ref="P25:AD25">P26+P27+P30</f>
        <v>32</v>
      </c>
      <c r="Q25" s="45">
        <f t="shared" si="2"/>
        <v>65</v>
      </c>
      <c r="R25" s="45">
        <f t="shared" si="2"/>
        <v>66</v>
      </c>
      <c r="S25" s="216">
        <f t="shared" si="2"/>
        <v>164</v>
      </c>
      <c r="T25" s="45">
        <f t="shared" si="2"/>
        <v>54</v>
      </c>
      <c r="U25" s="45">
        <f t="shared" si="2"/>
        <v>54</v>
      </c>
      <c r="V25" s="45">
        <f t="shared" si="2"/>
        <v>56</v>
      </c>
      <c r="W25" s="216">
        <f t="shared" si="2"/>
        <v>163</v>
      </c>
      <c r="X25" s="45">
        <f t="shared" si="2"/>
        <v>54</v>
      </c>
      <c r="Y25" s="45">
        <f t="shared" si="2"/>
        <v>54</v>
      </c>
      <c r="Z25" s="45">
        <f t="shared" si="2"/>
        <v>55</v>
      </c>
      <c r="AA25" s="216">
        <f t="shared" si="2"/>
        <v>163</v>
      </c>
      <c r="AB25" s="45">
        <f t="shared" si="2"/>
        <v>54</v>
      </c>
      <c r="AC25" s="45">
        <f t="shared" si="2"/>
        <v>54</v>
      </c>
      <c r="AD25" s="45">
        <f t="shared" si="2"/>
        <v>55</v>
      </c>
    </row>
    <row r="26" spans="1:30" ht="24" customHeight="1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653</v>
      </c>
      <c r="O27" s="214">
        <v>163</v>
      </c>
      <c r="P27" s="184">
        <v>32</v>
      </c>
      <c r="Q27" s="184">
        <v>65</v>
      </c>
      <c r="R27" s="184">
        <v>66</v>
      </c>
      <c r="S27" s="214">
        <v>164</v>
      </c>
      <c r="T27" s="184">
        <v>54</v>
      </c>
      <c r="U27" s="184">
        <v>54</v>
      </c>
      <c r="V27" s="184">
        <v>56</v>
      </c>
      <c r="W27" s="214">
        <v>163</v>
      </c>
      <c r="X27" s="184">
        <v>54</v>
      </c>
      <c r="Y27" s="184">
        <v>54</v>
      </c>
      <c r="Z27" s="184">
        <v>55</v>
      </c>
      <c r="AA27" s="214">
        <v>163</v>
      </c>
      <c r="AB27" s="184">
        <v>54</v>
      </c>
      <c r="AC27" s="184">
        <v>54</v>
      </c>
      <c r="AD27" s="184">
        <v>55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653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163</v>
      </c>
      <c r="P28" s="47">
        <v>32</v>
      </c>
      <c r="Q28" s="47">
        <v>65</v>
      </c>
      <c r="R28" s="47">
        <v>66</v>
      </c>
      <c r="S28" s="217">
        <f>S27</f>
        <v>164</v>
      </c>
      <c r="T28" s="47">
        <v>54</v>
      </c>
      <c r="U28" s="47">
        <v>54</v>
      </c>
      <c r="V28" s="47">
        <v>56</v>
      </c>
      <c r="W28" s="217">
        <f>W27</f>
        <v>163</v>
      </c>
      <c r="X28" s="47">
        <v>54</v>
      </c>
      <c r="Y28" s="47">
        <v>54</v>
      </c>
      <c r="Z28" s="47">
        <v>55</v>
      </c>
      <c r="AA28" s="217">
        <f>AA27</f>
        <v>163</v>
      </c>
      <c r="AB28" s="47">
        <v>54</v>
      </c>
      <c r="AC28" s="47">
        <v>54</v>
      </c>
      <c r="AD28" s="47">
        <v>55</v>
      </c>
    </row>
    <row r="29" spans="1:30" ht="51.75" customHeight="1" hidden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10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5</v>
      </c>
      <c r="X34" s="43">
        <f t="shared" si="3"/>
        <v>0</v>
      </c>
      <c r="Y34" s="43">
        <f t="shared" si="3"/>
        <v>0</v>
      </c>
      <c r="Z34" s="43">
        <f t="shared" si="3"/>
        <v>5</v>
      </c>
      <c r="AA34" s="219">
        <f t="shared" si="3"/>
        <v>5</v>
      </c>
      <c r="AB34" s="43">
        <f t="shared" si="3"/>
        <v>1</v>
      </c>
      <c r="AC34" s="43">
        <f t="shared" si="3"/>
        <v>4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</v>
      </c>
      <c r="O35" s="214"/>
      <c r="P35" s="184"/>
      <c r="Q35" s="184"/>
      <c r="R35" s="184"/>
      <c r="S35" s="214"/>
      <c r="T35" s="184"/>
      <c r="U35" s="184"/>
      <c r="V35" s="184"/>
      <c r="W35" s="214">
        <v>3</v>
      </c>
      <c r="X35" s="184"/>
      <c r="Y35" s="184"/>
      <c r="Z35" s="184">
        <v>3</v>
      </c>
      <c r="AA35" s="214">
        <v>5</v>
      </c>
      <c r="AB35" s="184">
        <v>1</v>
      </c>
      <c r="AC35" s="184">
        <v>4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4"/>
      <c r="P37" s="184"/>
      <c r="Q37" s="184"/>
      <c r="R37" s="184"/>
      <c r="S37" s="214"/>
      <c r="T37" s="184"/>
      <c r="U37" s="184"/>
      <c r="V37" s="184"/>
      <c r="W37" s="214">
        <v>2</v>
      </c>
      <c r="X37" s="184"/>
      <c r="Y37" s="184"/>
      <c r="Z37" s="184">
        <v>2</v>
      </c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01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124"/>
      <c r="Y41" s="124"/>
      <c r="Z41" s="124"/>
      <c r="AA41" s="270">
        <f>AA43+AA45+AA46+AA44</f>
        <v>0</v>
      </c>
      <c r="AB41" s="124"/>
      <c r="AC41" s="124"/>
      <c r="AD41" s="124"/>
    </row>
    <row r="42" spans="1:30" ht="13.5" hidden="1" thickBot="1">
      <c r="A42" s="402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89</v>
      </c>
      <c r="L47" s="43">
        <f>L49+L53</f>
        <v>0</v>
      </c>
      <c r="M47" s="43">
        <f>M49+M53</f>
        <v>0</v>
      </c>
      <c r="N47" s="43">
        <f>N49+N53</f>
        <v>0</v>
      </c>
      <c r="O47" s="219">
        <f>O49+O53</f>
        <v>22</v>
      </c>
      <c r="P47" s="43">
        <f aca="true" t="shared" si="4" ref="P47:AD47">P49+P53</f>
        <v>7</v>
      </c>
      <c r="Q47" s="43">
        <f t="shared" si="4"/>
        <v>7</v>
      </c>
      <c r="R47" s="43">
        <f t="shared" si="4"/>
        <v>8</v>
      </c>
      <c r="S47" s="219">
        <f t="shared" si="4"/>
        <v>23</v>
      </c>
      <c r="T47" s="43">
        <f t="shared" si="4"/>
        <v>7</v>
      </c>
      <c r="U47" s="43">
        <f t="shared" si="4"/>
        <v>7</v>
      </c>
      <c r="V47" s="43">
        <f t="shared" si="4"/>
        <v>9</v>
      </c>
      <c r="W47" s="219">
        <f t="shared" si="4"/>
        <v>22</v>
      </c>
      <c r="X47" s="43">
        <f t="shared" si="4"/>
        <v>7</v>
      </c>
      <c r="Y47" s="43">
        <f t="shared" si="4"/>
        <v>7</v>
      </c>
      <c r="Z47" s="43">
        <f t="shared" si="4"/>
        <v>8</v>
      </c>
      <c r="AA47" s="219">
        <f t="shared" si="4"/>
        <v>22</v>
      </c>
      <c r="AB47" s="43">
        <f t="shared" si="4"/>
        <v>7</v>
      </c>
      <c r="AC47" s="43">
        <f t="shared" si="4"/>
        <v>7</v>
      </c>
      <c r="AD47" s="43">
        <f t="shared" si="4"/>
        <v>8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49</v>
      </c>
      <c r="L49" s="121">
        <f>L50</f>
        <v>0</v>
      </c>
      <c r="M49" s="121">
        <f>M50</f>
        <v>0</v>
      </c>
      <c r="N49" s="121">
        <f>N50</f>
        <v>0</v>
      </c>
      <c r="O49" s="222">
        <f>O50</f>
        <v>12</v>
      </c>
      <c r="P49" s="121">
        <f aca="true" t="shared" si="5" ref="P49:AD49">P50</f>
        <v>4</v>
      </c>
      <c r="Q49" s="121">
        <f t="shared" si="5"/>
        <v>4</v>
      </c>
      <c r="R49" s="121">
        <f t="shared" si="5"/>
        <v>4</v>
      </c>
      <c r="S49" s="222">
        <f t="shared" si="5"/>
        <v>13</v>
      </c>
      <c r="T49" s="121">
        <f t="shared" si="5"/>
        <v>4</v>
      </c>
      <c r="U49" s="121">
        <f t="shared" si="5"/>
        <v>4</v>
      </c>
      <c r="V49" s="121">
        <f t="shared" si="5"/>
        <v>5</v>
      </c>
      <c r="W49" s="222">
        <f t="shared" si="5"/>
        <v>12</v>
      </c>
      <c r="X49" s="121">
        <f t="shared" si="5"/>
        <v>4</v>
      </c>
      <c r="Y49" s="121">
        <f t="shared" si="5"/>
        <v>4</v>
      </c>
      <c r="Z49" s="121">
        <f t="shared" si="5"/>
        <v>4</v>
      </c>
      <c r="AA49" s="222">
        <f t="shared" si="5"/>
        <v>12</v>
      </c>
      <c r="AB49" s="121">
        <f t="shared" si="5"/>
        <v>4</v>
      </c>
      <c r="AC49" s="121">
        <f t="shared" si="5"/>
        <v>4</v>
      </c>
      <c r="AD49" s="121">
        <f t="shared" si="5"/>
        <v>4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49</v>
      </c>
      <c r="O50" s="214">
        <v>12</v>
      </c>
      <c r="P50" s="184">
        <v>4</v>
      </c>
      <c r="Q50" s="184">
        <v>4</v>
      </c>
      <c r="R50" s="184">
        <v>4</v>
      </c>
      <c r="S50" s="214">
        <v>13</v>
      </c>
      <c r="T50" s="184">
        <v>4</v>
      </c>
      <c r="U50" s="184">
        <v>4</v>
      </c>
      <c r="V50" s="184">
        <v>5</v>
      </c>
      <c r="W50" s="214">
        <v>12</v>
      </c>
      <c r="X50" s="184">
        <v>4</v>
      </c>
      <c r="Y50" s="184">
        <v>4</v>
      </c>
      <c r="Z50" s="184">
        <v>4</v>
      </c>
      <c r="AA50" s="214">
        <v>12</v>
      </c>
      <c r="AB50" s="184">
        <v>4</v>
      </c>
      <c r="AC50" s="184">
        <v>4</v>
      </c>
      <c r="AD50" s="184">
        <v>4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40</v>
      </c>
      <c r="L53" s="121">
        <f>L54</f>
        <v>0</v>
      </c>
      <c r="M53" s="121">
        <f>M54</f>
        <v>0</v>
      </c>
      <c r="N53" s="121">
        <f>N54</f>
        <v>0</v>
      </c>
      <c r="O53" s="222">
        <f>O54</f>
        <v>10</v>
      </c>
      <c r="P53" s="121">
        <f aca="true" t="shared" si="6" ref="P53:AD53">P54</f>
        <v>3</v>
      </c>
      <c r="Q53" s="121">
        <f t="shared" si="6"/>
        <v>3</v>
      </c>
      <c r="R53" s="121">
        <f t="shared" si="6"/>
        <v>4</v>
      </c>
      <c r="S53" s="222">
        <f t="shared" si="6"/>
        <v>10</v>
      </c>
      <c r="T53" s="121">
        <f t="shared" si="6"/>
        <v>3</v>
      </c>
      <c r="U53" s="121">
        <f t="shared" si="6"/>
        <v>3</v>
      </c>
      <c r="V53" s="121">
        <f t="shared" si="6"/>
        <v>4</v>
      </c>
      <c r="W53" s="222">
        <f t="shared" si="6"/>
        <v>10</v>
      </c>
      <c r="X53" s="121">
        <f t="shared" si="6"/>
        <v>3</v>
      </c>
      <c r="Y53" s="121">
        <f t="shared" si="6"/>
        <v>3</v>
      </c>
      <c r="Z53" s="121">
        <f t="shared" si="6"/>
        <v>4</v>
      </c>
      <c r="AA53" s="222">
        <f t="shared" si="6"/>
        <v>10</v>
      </c>
      <c r="AB53" s="121">
        <f t="shared" si="6"/>
        <v>3</v>
      </c>
      <c r="AC53" s="121">
        <f t="shared" si="6"/>
        <v>3</v>
      </c>
      <c r="AD53" s="121">
        <f t="shared" si="6"/>
        <v>4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40</v>
      </c>
      <c r="O54" s="214">
        <v>10</v>
      </c>
      <c r="P54" s="184">
        <v>3</v>
      </c>
      <c r="Q54" s="184">
        <v>3</v>
      </c>
      <c r="R54" s="184">
        <v>4</v>
      </c>
      <c r="S54" s="214">
        <v>10</v>
      </c>
      <c r="T54" s="184">
        <v>3</v>
      </c>
      <c r="U54" s="184">
        <v>3</v>
      </c>
      <c r="V54" s="184">
        <v>4</v>
      </c>
      <c r="W54" s="214">
        <v>10</v>
      </c>
      <c r="X54" s="184">
        <v>3</v>
      </c>
      <c r="Y54" s="184">
        <v>3</v>
      </c>
      <c r="Z54" s="184">
        <v>4</v>
      </c>
      <c r="AA54" s="214">
        <v>10</v>
      </c>
      <c r="AB54" s="184">
        <v>3</v>
      </c>
      <c r="AC54" s="184">
        <v>3</v>
      </c>
      <c r="AD54" s="184">
        <v>4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68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774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19">
        <f>O68+O71+O72+O83+O90+O91</f>
        <v>193</v>
      </c>
      <c r="P66" s="43">
        <f aca="true" t="shared" si="7" ref="P66:AD66">P68+P71+P72+P83+P90+P91</f>
        <v>64</v>
      </c>
      <c r="Q66" s="43">
        <f t="shared" si="7"/>
        <v>64</v>
      </c>
      <c r="R66" s="43">
        <f t="shared" si="7"/>
        <v>65</v>
      </c>
      <c r="S66" s="219">
        <f t="shared" si="7"/>
        <v>194</v>
      </c>
      <c r="T66" s="43">
        <f t="shared" si="7"/>
        <v>65</v>
      </c>
      <c r="U66" s="43">
        <f t="shared" si="7"/>
        <v>64</v>
      </c>
      <c r="V66" s="43">
        <f t="shared" si="7"/>
        <v>65</v>
      </c>
      <c r="W66" s="219">
        <f t="shared" si="7"/>
        <v>194</v>
      </c>
      <c r="X66" s="43">
        <f t="shared" si="7"/>
        <v>64</v>
      </c>
      <c r="Y66" s="43">
        <f t="shared" si="7"/>
        <v>65</v>
      </c>
      <c r="Z66" s="43">
        <f t="shared" si="7"/>
        <v>65</v>
      </c>
      <c r="AA66" s="219">
        <f t="shared" si="7"/>
        <v>193</v>
      </c>
      <c r="AB66" s="43">
        <f t="shared" si="7"/>
        <v>64</v>
      </c>
      <c r="AC66" s="43">
        <f t="shared" si="7"/>
        <v>64</v>
      </c>
      <c r="AD66" s="43">
        <f t="shared" si="7"/>
        <v>65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757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189</v>
      </c>
      <c r="P68" s="45">
        <f aca="true" t="shared" si="8" ref="P68:AD68">P69+P70+P71</f>
        <v>63</v>
      </c>
      <c r="Q68" s="45">
        <f t="shared" si="8"/>
        <v>63</v>
      </c>
      <c r="R68" s="45">
        <f t="shared" si="8"/>
        <v>63</v>
      </c>
      <c r="S68" s="216">
        <f t="shared" si="8"/>
        <v>190</v>
      </c>
      <c r="T68" s="45">
        <f t="shared" si="8"/>
        <v>63</v>
      </c>
      <c r="U68" s="45">
        <f t="shared" si="8"/>
        <v>63</v>
      </c>
      <c r="V68" s="45">
        <f t="shared" si="8"/>
        <v>64</v>
      </c>
      <c r="W68" s="216">
        <f t="shared" si="8"/>
        <v>189</v>
      </c>
      <c r="X68" s="45">
        <f t="shared" si="8"/>
        <v>63</v>
      </c>
      <c r="Y68" s="45">
        <f t="shared" si="8"/>
        <v>63</v>
      </c>
      <c r="Z68" s="45">
        <f t="shared" si="8"/>
        <v>63</v>
      </c>
      <c r="AA68" s="216">
        <f t="shared" si="8"/>
        <v>189</v>
      </c>
      <c r="AB68" s="45">
        <f t="shared" si="8"/>
        <v>63</v>
      </c>
      <c r="AC68" s="45">
        <f t="shared" si="8"/>
        <v>63</v>
      </c>
      <c r="AD68" s="45">
        <f t="shared" si="8"/>
        <v>63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757</v>
      </c>
      <c r="O69" s="214">
        <v>189</v>
      </c>
      <c r="P69" s="184">
        <v>63</v>
      </c>
      <c r="Q69" s="184">
        <v>63</v>
      </c>
      <c r="R69" s="184">
        <v>63</v>
      </c>
      <c r="S69" s="214">
        <v>190</v>
      </c>
      <c r="T69" s="184">
        <v>63</v>
      </c>
      <c r="U69" s="184">
        <v>63</v>
      </c>
      <c r="V69" s="184">
        <v>64</v>
      </c>
      <c r="W69" s="214">
        <v>189</v>
      </c>
      <c r="X69" s="184">
        <v>63</v>
      </c>
      <c r="Y69" s="184">
        <v>63</v>
      </c>
      <c r="Z69" s="184">
        <v>63</v>
      </c>
      <c r="AA69" s="214">
        <v>189</v>
      </c>
      <c r="AB69" s="184">
        <v>63</v>
      </c>
      <c r="AC69" s="184">
        <v>63</v>
      </c>
      <c r="AD69" s="184">
        <v>63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17</v>
      </c>
      <c r="O90" s="214">
        <v>4</v>
      </c>
      <c r="P90" s="184">
        <v>1</v>
      </c>
      <c r="Q90" s="184">
        <v>1</v>
      </c>
      <c r="R90" s="184">
        <v>2</v>
      </c>
      <c r="S90" s="214">
        <v>4</v>
      </c>
      <c r="T90" s="184">
        <v>2</v>
      </c>
      <c r="U90" s="184">
        <v>1</v>
      </c>
      <c r="V90" s="184">
        <v>1</v>
      </c>
      <c r="W90" s="214">
        <v>5</v>
      </c>
      <c r="X90" s="184">
        <v>1</v>
      </c>
      <c r="Y90" s="184">
        <v>2</v>
      </c>
      <c r="Z90" s="184">
        <v>2</v>
      </c>
      <c r="AA90" s="214">
        <v>4</v>
      </c>
      <c r="AB90" s="184">
        <v>1</v>
      </c>
      <c r="AC90" s="184">
        <v>1</v>
      </c>
      <c r="AD90" s="184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84</v>
      </c>
      <c r="L92" s="43">
        <f>L93+L95</f>
        <v>0</v>
      </c>
      <c r="M92" s="43">
        <f>M93+M95</f>
        <v>0</v>
      </c>
      <c r="N92" s="43">
        <f>N93+N95</f>
        <v>0</v>
      </c>
      <c r="O92" s="219">
        <f>O93+O95</f>
        <v>20</v>
      </c>
      <c r="P92" s="43">
        <f aca="true" t="shared" si="9" ref="P92:AD92">P93+P95</f>
        <v>6</v>
      </c>
      <c r="Q92" s="43">
        <f t="shared" si="9"/>
        <v>6.5</v>
      </c>
      <c r="R92" s="43">
        <f t="shared" si="9"/>
        <v>7.5</v>
      </c>
      <c r="S92" s="219">
        <f t="shared" si="9"/>
        <v>21</v>
      </c>
      <c r="T92" s="43">
        <f t="shared" si="9"/>
        <v>6.5</v>
      </c>
      <c r="U92" s="43">
        <f t="shared" si="9"/>
        <v>7.5</v>
      </c>
      <c r="V92" s="43">
        <f t="shared" si="9"/>
        <v>7</v>
      </c>
      <c r="W92" s="219">
        <f t="shared" si="9"/>
        <v>21</v>
      </c>
      <c r="X92" s="43">
        <f t="shared" si="9"/>
        <v>6.5</v>
      </c>
      <c r="Y92" s="43">
        <f t="shared" si="9"/>
        <v>7.5</v>
      </c>
      <c r="Z92" s="43">
        <f t="shared" si="9"/>
        <v>7</v>
      </c>
      <c r="AA92" s="219">
        <f t="shared" si="9"/>
        <v>22</v>
      </c>
      <c r="AB92" s="43">
        <f t="shared" si="9"/>
        <v>6.5</v>
      </c>
      <c r="AC92" s="43">
        <f t="shared" si="9"/>
        <v>7.5</v>
      </c>
      <c r="AD92" s="43">
        <f t="shared" si="9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79</v>
      </c>
      <c r="L93" s="108">
        <f>L94</f>
        <v>0</v>
      </c>
      <c r="M93" s="108">
        <f>M94</f>
        <v>0</v>
      </c>
      <c r="N93" s="108">
        <f>N94</f>
        <v>0</v>
      </c>
      <c r="O93" s="225">
        <f>O94</f>
        <v>19</v>
      </c>
      <c r="P93" s="108">
        <f aca="true" t="shared" si="10" ref="P93:AD93">P94</f>
        <v>6</v>
      </c>
      <c r="Q93" s="108">
        <f t="shared" si="10"/>
        <v>6</v>
      </c>
      <c r="R93" s="108">
        <f t="shared" si="10"/>
        <v>7</v>
      </c>
      <c r="S93" s="225">
        <f t="shared" si="10"/>
        <v>20</v>
      </c>
      <c r="T93" s="108">
        <f t="shared" si="10"/>
        <v>6</v>
      </c>
      <c r="U93" s="108">
        <f t="shared" si="10"/>
        <v>7</v>
      </c>
      <c r="V93" s="108">
        <f t="shared" si="10"/>
        <v>7</v>
      </c>
      <c r="W93" s="225">
        <f t="shared" si="10"/>
        <v>20</v>
      </c>
      <c r="X93" s="108">
        <f t="shared" si="10"/>
        <v>6</v>
      </c>
      <c r="Y93" s="108">
        <f t="shared" si="10"/>
        <v>7</v>
      </c>
      <c r="Z93" s="108">
        <f t="shared" si="10"/>
        <v>7</v>
      </c>
      <c r="AA93" s="225">
        <f t="shared" si="10"/>
        <v>20</v>
      </c>
      <c r="AB93" s="108">
        <f t="shared" si="10"/>
        <v>6</v>
      </c>
      <c r="AC93" s="108">
        <f t="shared" si="10"/>
        <v>7</v>
      </c>
      <c r="AD93" s="108">
        <f t="shared" si="10"/>
        <v>7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79</v>
      </c>
      <c r="O94" s="214">
        <v>19</v>
      </c>
      <c r="P94" s="184">
        <v>6</v>
      </c>
      <c r="Q94" s="184">
        <v>6</v>
      </c>
      <c r="R94" s="184">
        <v>7</v>
      </c>
      <c r="S94" s="214">
        <v>20</v>
      </c>
      <c r="T94" s="184">
        <v>6</v>
      </c>
      <c r="U94" s="184">
        <v>7</v>
      </c>
      <c r="V94" s="184">
        <v>7</v>
      </c>
      <c r="W94" s="214">
        <v>20</v>
      </c>
      <c r="X94" s="184">
        <v>6</v>
      </c>
      <c r="Y94" s="184">
        <v>7</v>
      </c>
      <c r="Z94" s="184">
        <v>7</v>
      </c>
      <c r="AA94" s="214">
        <v>20</v>
      </c>
      <c r="AB94" s="184">
        <v>6</v>
      </c>
      <c r="AC94" s="184">
        <v>7</v>
      </c>
      <c r="AD94" s="184">
        <v>7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5</v>
      </c>
      <c r="L95" s="108">
        <f>L96</f>
        <v>0</v>
      </c>
      <c r="M95" s="108">
        <f>M96</f>
        <v>0</v>
      </c>
      <c r="N95" s="108">
        <f>N96</f>
        <v>0</v>
      </c>
      <c r="O95" s="225">
        <f>O96</f>
        <v>1</v>
      </c>
      <c r="P95" s="108">
        <f aca="true" t="shared" si="11" ref="P95:AD95">P96</f>
        <v>0</v>
      </c>
      <c r="Q95" s="108">
        <f t="shared" si="11"/>
        <v>0.5</v>
      </c>
      <c r="R95" s="108">
        <f t="shared" si="11"/>
        <v>0.5</v>
      </c>
      <c r="S95" s="225">
        <f t="shared" si="11"/>
        <v>1</v>
      </c>
      <c r="T95" s="108">
        <f t="shared" si="11"/>
        <v>0.5</v>
      </c>
      <c r="U95" s="108">
        <f t="shared" si="11"/>
        <v>0.5</v>
      </c>
      <c r="V95" s="108">
        <f t="shared" si="11"/>
        <v>0</v>
      </c>
      <c r="W95" s="225">
        <f t="shared" si="11"/>
        <v>1</v>
      </c>
      <c r="X95" s="108">
        <f t="shared" si="11"/>
        <v>0.5</v>
      </c>
      <c r="Y95" s="108">
        <f t="shared" si="11"/>
        <v>0.5</v>
      </c>
      <c r="Z95" s="108">
        <f t="shared" si="11"/>
        <v>0</v>
      </c>
      <c r="AA95" s="225">
        <f t="shared" si="11"/>
        <v>2</v>
      </c>
      <c r="AB95" s="108">
        <f t="shared" si="11"/>
        <v>0.5</v>
      </c>
      <c r="AC95" s="108">
        <f t="shared" si="11"/>
        <v>0.5</v>
      </c>
      <c r="AD95" s="108">
        <f t="shared" si="11"/>
        <v>1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5</v>
      </c>
      <c r="O96" s="214">
        <v>1</v>
      </c>
      <c r="P96" s="184"/>
      <c r="Q96" s="184">
        <v>0.5</v>
      </c>
      <c r="R96" s="184">
        <v>0.5</v>
      </c>
      <c r="S96" s="214">
        <v>1</v>
      </c>
      <c r="T96" s="184">
        <v>0.5</v>
      </c>
      <c r="U96" s="184">
        <v>0.5</v>
      </c>
      <c r="V96" s="184"/>
      <c r="W96" s="214">
        <v>1</v>
      </c>
      <c r="X96" s="184">
        <v>0.5</v>
      </c>
      <c r="Y96" s="184">
        <v>0.5</v>
      </c>
      <c r="Z96" s="184"/>
      <c r="AA96" s="214">
        <v>2</v>
      </c>
      <c r="AB96" s="184">
        <v>0.5</v>
      </c>
      <c r="AC96" s="184">
        <v>0.5</v>
      </c>
      <c r="AD96" s="184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1610</v>
      </c>
      <c r="L97" s="51">
        <f>L23+L66+L92</f>
        <v>0</v>
      </c>
      <c r="M97" s="51">
        <f>M23+M66+M92</f>
        <v>0</v>
      </c>
      <c r="N97" s="51">
        <f>N23+N66+N92</f>
        <v>0</v>
      </c>
      <c r="O97" s="226">
        <f>O23+O66+O92</f>
        <v>398</v>
      </c>
      <c r="P97" s="51">
        <f aca="true" t="shared" si="12" ref="P97:AD97">P23+P66+P92</f>
        <v>109</v>
      </c>
      <c r="Q97" s="51">
        <f t="shared" si="12"/>
        <v>142.5</v>
      </c>
      <c r="R97" s="51">
        <f t="shared" si="12"/>
        <v>146.5</v>
      </c>
      <c r="S97" s="226">
        <f t="shared" si="12"/>
        <v>402</v>
      </c>
      <c r="T97" s="51">
        <f t="shared" si="12"/>
        <v>132.5</v>
      </c>
      <c r="U97" s="51">
        <f t="shared" si="12"/>
        <v>132.5</v>
      </c>
      <c r="V97" s="51">
        <f t="shared" si="12"/>
        <v>137</v>
      </c>
      <c r="W97" s="226">
        <f t="shared" si="12"/>
        <v>405</v>
      </c>
      <c r="X97" s="51">
        <f t="shared" si="12"/>
        <v>131.5</v>
      </c>
      <c r="Y97" s="51">
        <f t="shared" si="12"/>
        <v>133.5</v>
      </c>
      <c r="Z97" s="51">
        <f t="shared" si="12"/>
        <v>140</v>
      </c>
      <c r="AA97" s="226">
        <f t="shared" si="12"/>
        <v>405</v>
      </c>
      <c r="AB97" s="51">
        <f t="shared" si="12"/>
        <v>132.5</v>
      </c>
      <c r="AC97" s="51">
        <f t="shared" si="12"/>
        <v>136.5</v>
      </c>
      <c r="AD97" s="51">
        <f t="shared" si="12"/>
        <v>136</v>
      </c>
    </row>
    <row r="98" spans="15:27" ht="12.75">
      <c r="O98" s="210">
        <f>SUM(P97:R97)</f>
        <v>398</v>
      </c>
      <c r="S98" s="210">
        <f>SUM(T97:V97)</f>
        <v>402</v>
      </c>
      <c r="W98" s="210">
        <f>SUM(X97:Z97)</f>
        <v>405</v>
      </c>
      <c r="AA98" s="210">
        <f>SUM(AB97:AD97)</f>
        <v>405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rfu4</cp:lastModifiedBy>
  <cp:lastPrinted>2009-03-04T07:19:14Z</cp:lastPrinted>
  <dcterms:created xsi:type="dcterms:W3CDTF">2005-07-11T04:44:43Z</dcterms:created>
  <dcterms:modified xsi:type="dcterms:W3CDTF">2009-03-04T07:22:47Z</dcterms:modified>
  <cp:category/>
  <cp:version/>
  <cp:contentType/>
  <cp:contentStatus/>
</cp:coreProperties>
</file>