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9720" windowHeight="5040" tabRatio="902" activeTab="3"/>
  </bookViews>
  <sheets>
    <sheet name="01,01,17" sheetId="1" r:id="rId1"/>
    <sheet name="01,02,17" sheetId="2" r:id="rId2"/>
    <sheet name="01,03,17" sheetId="3" r:id="rId3"/>
    <sheet name="01,04,17" sheetId="4" r:id="rId4"/>
  </sheets>
  <definedNames>
    <definedName name="С55" localSheetId="0">#REF!</definedName>
    <definedName name="С55" localSheetId="2">#REF!</definedName>
    <definedName name="С55" localSheetId="3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<sst xmlns="http://schemas.openxmlformats.org/spreadsheetml/2006/main" count="559" uniqueCount="88">
  <si>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</si>
  <si>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</si>
  <si>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</si>
  <si>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</si>
  <si>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</si>
  <si>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</si>
  <si>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</si>
  <si>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</si>
  <si>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</si>
  <si>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</si>
  <si>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</si>
  <si>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</si>
  <si>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</si>
  <si>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</si>
  <si>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</si>
  <si>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</si>
  <si>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</si>
  <si>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</si>
  <si>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</si>
  <si>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</si>
  <si>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</si>
  <si>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</si>
  <si>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</si>
  <si>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</si>
  <si>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</si>
  <si>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</si>
  <si>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</si>
  <si>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</si>
  <si>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</si>
  <si>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</si>
  <si>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</si>
  <si>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</si>
  <si>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</si>
  <si>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</si>
  <si>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</si>
  <si>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20.12.2014г.</t>
  </si>
  <si>
    <t>Глава Олонецкого национального муниципального района</t>
  </si>
  <si>
    <t>№9-1 от 24.02.12г.</t>
  </si>
  <si>
    <t>№9-2/12 от 14.08.12г.</t>
  </si>
  <si>
    <t>№9-3/12 от 24.12.2012г</t>
  </si>
  <si>
    <t>Образование долгового обязательства  за отчетный период (январь)</t>
  </si>
  <si>
    <t>№9-1/13 от 09.08.2013г</t>
  </si>
  <si>
    <t>22.07.2016г.</t>
  </si>
  <si>
    <t>№9-2/13 от 2412.2013г</t>
  </si>
  <si>
    <t>25.11.2016г.</t>
  </si>
  <si>
    <t>С.К. Прокопьев</t>
  </si>
  <si>
    <t>№9-1/14 от 11.03.2014г</t>
  </si>
  <si>
    <t>20.12.2017г.</t>
  </si>
  <si>
    <t>№9-2/14 от 11.07.2014г</t>
  </si>
  <si>
    <t>№9-1 от 08.04.11г.\рестр.9р-3</t>
  </si>
  <si>
    <t>№9-3/14 от 16.09.2014г</t>
  </si>
  <si>
    <t>25.08.2017г.</t>
  </si>
  <si>
    <t>№9-4/14 от 25.12.2014г</t>
  </si>
  <si>
    <t>27.02.2017г.</t>
  </si>
  <si>
    <t>Погашение долгового  обязательства за отчетный период (январь)</t>
  </si>
  <si>
    <t>№9-1/15 от 16.06.2015г.</t>
  </si>
  <si>
    <t>№9-2/15 от 26.06.2015 год</t>
  </si>
  <si>
    <t>№0106300009115000020 от 28.07.2015г.</t>
  </si>
  <si>
    <t>ПАО "Совкомбанк"</t>
  </si>
  <si>
    <t>№9-3/15 от 10.10.2015 год</t>
  </si>
  <si>
    <t>20.11.2018г.</t>
  </si>
  <si>
    <t>№0106300009115000044 от 15.12.2015г.</t>
  </si>
  <si>
    <t>16.12.2016г</t>
  </si>
  <si>
    <t>28.07.2017г</t>
  </si>
  <si>
    <t>№9-4/15 от 28.12.2015 год</t>
  </si>
  <si>
    <t>22.07.2017г.</t>
  </si>
  <si>
    <t>Остаток долгового обязательства на начало отчетного периода (1.01.2016)</t>
  </si>
  <si>
    <t xml:space="preserve">Т.Н.Столярова </t>
  </si>
  <si>
    <t>№0106300009116000011 от 08.04.2016г.</t>
  </si>
  <si>
    <t>08.04.2017г</t>
  </si>
  <si>
    <t>№9-1/16 от03.08.2016 год</t>
  </si>
  <si>
    <t>22.07.2019г.</t>
  </si>
  <si>
    <t>Образование долгового обязательства  за отчетный период (январь-ноябрь)</t>
  </si>
  <si>
    <t>Погашение долгового  обязательства за отчетный период (январь-ноябрь)</t>
  </si>
  <si>
    <t>Остаток долгового обязательства на конец отчетного периода (1.12.2016)</t>
  </si>
  <si>
    <t>по состоянию на  1.01.2017 года</t>
  </si>
  <si>
    <t>№9-2/16 от23.12.2016 год</t>
  </si>
  <si>
    <t>№0106300009116000066 от 05.12.2016г.</t>
  </si>
  <si>
    <t>23.11.2016г.</t>
  </si>
  <si>
    <t>по состоянию на  1.02.2017 года</t>
  </si>
  <si>
    <t>08.04.2018г</t>
  </si>
  <si>
    <t>Остаток долгового обязательства на начало отчетного периода (1.01.2017)</t>
  </si>
  <si>
    <t>Остаток долгового обязательства на конец отчетного периода (1.02.2017)</t>
  </si>
  <si>
    <t>по состоянию на  1.03.2017 года</t>
  </si>
  <si>
    <t>Образование долгового обязательства  за отчетный период (январь-февраль)</t>
  </si>
  <si>
    <t>Погашение долгового  обязательства за отчетный период (январь-февраль)</t>
  </si>
  <si>
    <t>Остаток долгового обязательства на конец отчетного периода (1.03.2017)</t>
  </si>
  <si>
    <t>по состоянию на  1.04.2017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</si>
</sst>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8"/>
  <sheetViews>
    <sheetView zoomScalePageLayoutView="0" workbookViewId="0" topLeftCell="E8">
      <selection activeCell="M61" sqref="M6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66</v>
      </c>
      <c r="I8" s="11" t="s">
        <v>72</v>
      </c>
      <c r="J8" s="11" t="s">
        <v>73</v>
      </c>
      <c r="K8" s="11" t="s">
        <v>74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2605.66+2437.55+2605.66+2521.61+2605.66+1833.13+71.06+71.06+68.77+71.06+68.77+71.06</f>
        <v>15031.05</v>
      </c>
      <c r="P25" s="7">
        <f>2939.37+2605.66+2437.55+2605.66+2521.61+2605.66+1833.13+71.06+71.06+68.77+71.06+68.77</f>
        <v>17899.360000000004</v>
      </c>
      <c r="Q25" s="6">
        <f t="shared" si="2"/>
        <v>71.05999999999403</v>
      </c>
      <c r="R25" s="48">
        <f t="shared" si="3"/>
        <v>839071.06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6782.79+6345.19+6782.79+6563.99+6782.79+4771.81+184.98+184.98+179.02+184.98+179.02+184.98</f>
        <v>39127.32000000001</v>
      </c>
      <c r="P26" s="7">
        <f>7651.48+6782.79+6345.19+6782.79+6563.99+6782.79+4771.81+184.98+184.98+179.02+184.98+179.02</f>
        <v>46593.82</v>
      </c>
      <c r="Q26" s="6">
        <f t="shared" si="2"/>
        <v>184.9800000000032</v>
      </c>
      <c r="R26" s="48">
        <f t="shared" si="3"/>
        <v>2184184.98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16068.36+12598.02+11532.07+8820.12+6520.92+3758.36+829.5</f>
        <v>60127.35</v>
      </c>
      <c r="P27" s="7">
        <f>12495.55+16068.36+12598.02+11532.07+8820.12+6520.92+3758.36+829.5</f>
        <v>72622.90000000001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29871.58+24494.76+24036.92+20664.76+18475.76+12413.95+2739.88</f>
        <v>132697.61</v>
      </c>
      <c r="P28" s="7">
        <f>23356.16+29871.58+24494.76+24036.92+20664.76+18475.76+12413.95+2739.88</f>
        <v>156053.77000000002</v>
      </c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30371.7+26418.27+26999.14+24627.2+23415.78+17112.65+4695.74+4695.74+4457.53+4471.68+4327.44+2882.23+4471.68</f>
        <v>178946.77999999997</v>
      </c>
      <c r="P29" s="7">
        <f>23356.16+30371.7+26418.27+26999.14+24627.2+23415.78+17112.65+4695.74+4695.74+4457.53+4471.68+2882.23+4327.44</f>
        <v>197831.25999999998</v>
      </c>
      <c r="Q29" s="6">
        <f t="shared" si="2"/>
        <v>4471.679999999993</v>
      </c>
      <c r="R29" s="48">
        <f t="shared" si="3"/>
        <v>7111471.680000001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48</v>
      </c>
      <c r="D30" s="52" t="s">
        <v>34</v>
      </c>
      <c r="E30" s="44">
        <v>7000000</v>
      </c>
      <c r="F30" s="45" t="s">
        <v>47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21233.1+18388.6+18738.94+17024.41+16361.7+12978.59+6913.17+6913.17+6562.48+6583.31+6370.95+1421.04+6583.31</f>
        <v>146072.77000000002</v>
      </c>
      <c r="P30" s="7">
        <f>16349.32+21233.1+18388.6+18738.94+17024.41+16361.7+12978.59+6913.17+6913.17+6562.48+6583.31+1421.04+6370.95</f>
        <v>155838.78000000003</v>
      </c>
      <c r="Q30" s="6">
        <f t="shared" si="2"/>
        <v>6583.309999999998</v>
      </c>
      <c r="R30" s="48">
        <f t="shared" si="3"/>
        <v>5061583.31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50</v>
      </c>
      <c r="D31" s="52" t="s">
        <v>34</v>
      </c>
      <c r="E31" s="44">
        <v>6000000</v>
      </c>
      <c r="F31" s="45" t="s">
        <v>51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18634.05+17431.85+18634.05+18032.95+18634.05+17568.38+17786.89+17786.89+16884.59+16938.2+16391.8+16938.2</f>
        <v>211661.9</v>
      </c>
      <c r="P31" s="94">
        <f>14013.7+18634.05+17431.85+18634.05+18032.95+18634.05+17568.38+17786.89+17786.89+16884.59+16938.2+16391.8</f>
        <v>208737.4</v>
      </c>
      <c r="Q31" s="6">
        <f t="shared" si="2"/>
        <v>16938.20000000001</v>
      </c>
      <c r="R31" s="48">
        <f t="shared" si="3"/>
        <v>6016938.2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52</v>
      </c>
      <c r="D32" s="43" t="s">
        <v>34</v>
      </c>
      <c r="E32" s="2">
        <v>10000000</v>
      </c>
      <c r="F32" s="93" t="s">
        <v>53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31056.75+29053.09+31056.75+30054.92+31056.75+29280.63+29644.81+29644.81+28140.98+28230.33+27319.67+28230.33</f>
        <v>352769.82</v>
      </c>
      <c r="P32" s="135">
        <f>23356.16+31056.75+29053.09+31056.75+30054.92+31056.75+29280.63+29644.81+29644.81+28140.98+28230.33+27319.67</f>
        <v>347895.64999999997</v>
      </c>
      <c r="Q32" s="6">
        <f t="shared" si="2"/>
        <v>28230.330000000016</v>
      </c>
      <c r="R32" s="48">
        <f t="shared" si="3"/>
        <v>10028230.33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55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31056.75+29053.09+31056.75+30054.92+31056.75+29280.63+29644.81+29644.81+28140.98+28230.33+27319.67+28230.33</f>
        <v>352769.82</v>
      </c>
      <c r="P33" s="94">
        <f>23356.16+31056.75+29053.09+31056.75+30054.92+31056.75+29280.63+29644.81+29644.81+28140.98+28230.33+27319.67</f>
        <v>347895.64999999997</v>
      </c>
      <c r="Q33" s="6">
        <f t="shared" si="2"/>
        <v>28230.330000000016</v>
      </c>
      <c r="R33" s="48">
        <f t="shared" si="3"/>
        <v>10028230.33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56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f>6893.68</f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59</v>
      </c>
      <c r="D35" s="52" t="s">
        <v>34</v>
      </c>
      <c r="E35" s="44">
        <v>65000</v>
      </c>
      <c r="F35" s="45" t="s">
        <v>60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20186.89+18884.51+20186.89+19535.7+20186.89+19032.41+19269.13+19269.13+18291.63+18349.71+17757.79+18349.71</f>
        <v>229300.38999999998</v>
      </c>
      <c r="P35" s="140">
        <f>15181.51+20186.89+18884.51+20186.89+19535.7+20186.89+19032.41+19269.13+19269.13+18291.63+18349.71+17757.79</f>
        <v>226132.19</v>
      </c>
      <c r="Q35" s="32">
        <f t="shared" si="2"/>
        <v>18349.709999999992</v>
      </c>
      <c r="R35" s="32">
        <f t="shared" si="3"/>
        <v>6518349.709999999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64</v>
      </c>
      <c r="D36" s="52" t="s">
        <v>34</v>
      </c>
      <c r="E36" s="44">
        <v>12400000</v>
      </c>
      <c r="F36" s="45" t="s">
        <v>60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38510.37+36025.83+38510.37+37268.1+38510.37+36307.98+36759.56+36759.56+34894.82+35005.61+33876.39+35005.61</f>
        <v>437434.57</v>
      </c>
      <c r="P36" s="140">
        <f>7473.97+38510.37+36025.83+38510.37+37268.1+38510.37+36307.98+36759.56+36759.56+13167.22+21727.6+35005.61+33876.39</f>
        <v>409902.93</v>
      </c>
      <c r="Q36" s="32">
        <f t="shared" si="2"/>
        <v>35005.609999999986</v>
      </c>
      <c r="R36" s="32">
        <f t="shared" si="3"/>
        <v>12435005.610000001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70</v>
      </c>
      <c r="D37" s="52" t="s">
        <v>34</v>
      </c>
      <c r="E37" s="44">
        <v>24800000</v>
      </c>
      <c r="F37" s="45" t="s">
        <v>71</v>
      </c>
      <c r="G37" s="46" t="s">
        <v>28</v>
      </c>
      <c r="H37" s="137"/>
      <c r="I37" s="137">
        <v>24800000</v>
      </c>
      <c r="J37" s="138"/>
      <c r="K37" s="153">
        <f>H37+I37-J37</f>
        <v>24800000</v>
      </c>
      <c r="L37" s="153">
        <f>K37</f>
        <v>24800000</v>
      </c>
      <c r="M37" s="139"/>
      <c r="N37" s="139"/>
      <c r="O37" s="154">
        <f>54546.45+69789.63+70011.21+67752.79+70011.21</f>
        <v>332111.29000000004</v>
      </c>
      <c r="P37" s="140">
        <f>54546.45+69789.63+70011.21+67752.79</f>
        <v>262100.08000000002</v>
      </c>
      <c r="Q37" s="32">
        <f>N37+O37-P37</f>
        <v>70011.21000000002</v>
      </c>
      <c r="R37" s="32">
        <f>K37+N37+O37-P37</f>
        <v>24870011.21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/>
      <c r="B38" s="157"/>
      <c r="C38" s="52" t="s">
        <v>76</v>
      </c>
      <c r="D38" s="52" t="s">
        <v>34</v>
      </c>
      <c r="E38" s="44">
        <v>16000000</v>
      </c>
      <c r="F38" s="45" t="s">
        <v>78</v>
      </c>
      <c r="G38" s="46" t="s">
        <v>28</v>
      </c>
      <c r="H38" s="137"/>
      <c r="I38" s="137">
        <v>16000000</v>
      </c>
      <c r="J38" s="138"/>
      <c r="K38" s="153">
        <f>H38+I38-J38</f>
        <v>16000000</v>
      </c>
      <c r="L38" s="153">
        <f>K38</f>
        <v>16000000</v>
      </c>
      <c r="M38" s="139"/>
      <c r="N38" s="139"/>
      <c r="O38" s="154">
        <v>8742.3</v>
      </c>
      <c r="P38" s="140"/>
      <c r="Q38" s="32">
        <f>N38+O38-P38</f>
        <v>8742.3</v>
      </c>
      <c r="R38" s="32">
        <f>K38+N38+O38-P38</f>
        <v>16008742.3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.75" customHeight="1" thickBot="1">
      <c r="A39" s="95" t="s">
        <v>21</v>
      </c>
      <c r="B39" s="18"/>
      <c r="C39" s="18"/>
      <c r="D39" s="96"/>
      <c r="E39" s="97"/>
      <c r="F39" s="98"/>
      <c r="G39" s="98"/>
      <c r="H39" s="136">
        <f>H23+H24+H25+H26+H27+H28+H29+H30+H31+H32+H33+H34+H35+H36+H37+H38</f>
        <v>80273000</v>
      </c>
      <c r="I39" s="136">
        <f aca="true" t="shared" si="4" ref="I39:S39">I23+I24+I25+I26+I27+I28+I29+I30+I31+I32+I33+I34+I35+I36+I37+I38</f>
        <v>40800000</v>
      </c>
      <c r="J39" s="136">
        <f t="shared" si="4"/>
        <v>13088000</v>
      </c>
      <c r="K39" s="136">
        <f t="shared" si="4"/>
        <v>107985000</v>
      </c>
      <c r="L39" s="136">
        <f t="shared" si="4"/>
        <v>107985000</v>
      </c>
      <c r="M39" s="136">
        <f t="shared" si="4"/>
        <v>0</v>
      </c>
      <c r="N39" s="136">
        <f t="shared" si="4"/>
        <v>176423.22</v>
      </c>
      <c r="O39" s="136">
        <f t="shared" si="4"/>
        <v>2496792.9699999997</v>
      </c>
      <c r="P39" s="136">
        <f t="shared" si="4"/>
        <v>2456397.4699999997</v>
      </c>
      <c r="Q39" s="136">
        <f t="shared" si="4"/>
        <v>216818.72000000003</v>
      </c>
      <c r="R39" s="136">
        <f t="shared" si="4"/>
        <v>108201818.71999998</v>
      </c>
      <c r="S39" s="136">
        <f t="shared" si="4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19" ht="16.5" customHeight="1" thickBot="1">
      <c r="A40" s="141" t="s">
        <v>19</v>
      </c>
      <c r="B40" s="142" t="s">
        <v>23</v>
      </c>
      <c r="C40" s="142"/>
      <c r="D40" s="142"/>
      <c r="E40" s="142"/>
      <c r="F40" s="142"/>
      <c r="G40" s="20"/>
      <c r="H40" s="10"/>
      <c r="I40" s="10"/>
      <c r="J40" s="10"/>
      <c r="K40" s="10"/>
      <c r="L40" s="99"/>
      <c r="M40" s="10"/>
      <c r="N40" s="10"/>
      <c r="O40" s="10"/>
      <c r="P40" s="146"/>
      <c r="Q40" s="10"/>
      <c r="R40" s="147"/>
      <c r="S40" s="25"/>
    </row>
    <row r="41" spans="1:19" ht="69" customHeight="1">
      <c r="A41" s="144">
        <v>1</v>
      </c>
      <c r="B41" s="42" t="s">
        <v>23</v>
      </c>
      <c r="C41" s="145" t="s">
        <v>57</v>
      </c>
      <c r="D41" s="132" t="s">
        <v>58</v>
      </c>
      <c r="E41" s="17">
        <v>9000000</v>
      </c>
      <c r="F41" s="132" t="s">
        <v>63</v>
      </c>
      <c r="G41" s="133" t="s">
        <v>28</v>
      </c>
      <c r="H41" s="3">
        <v>9000000</v>
      </c>
      <c r="I41" s="155"/>
      <c r="J41" s="3"/>
      <c r="K41" s="6">
        <f>H41+I41-J41</f>
        <v>9000000</v>
      </c>
      <c r="L41" s="6">
        <f>K41</f>
        <v>9000000</v>
      </c>
      <c r="M41" s="3"/>
      <c r="N41" s="3">
        <v>0</v>
      </c>
      <c r="O41" s="3">
        <f>302459.01+144836.07+140163.93+144836.07+140163.93+136229.51+137213.11+132786.89+133893.44+129098.36+133401.64</f>
        <v>1675081.96</v>
      </c>
      <c r="P41" s="17">
        <f>156270.49+146188.52+144836.07+140163.93+144836.07+140163.93+136229.51+137213.11+132786.89+133893.44+129098.36+133401.64</f>
        <v>1675081.96</v>
      </c>
      <c r="Q41" s="6">
        <f>N41+O41-P41</f>
        <v>0</v>
      </c>
      <c r="R41" s="6">
        <f>K41+N41+O41-P41</f>
        <v>9000000</v>
      </c>
      <c r="S41" s="25"/>
    </row>
    <row r="42" spans="1:19" ht="69" customHeight="1">
      <c r="A42" s="152">
        <v>2</v>
      </c>
      <c r="B42" s="42" t="s">
        <v>23</v>
      </c>
      <c r="C42" s="145" t="s">
        <v>61</v>
      </c>
      <c r="D42" s="132" t="s">
        <v>58</v>
      </c>
      <c r="E42" s="17">
        <v>5000000</v>
      </c>
      <c r="F42" s="132" t="s">
        <v>62</v>
      </c>
      <c r="G42" s="133" t="s">
        <v>28</v>
      </c>
      <c r="H42" s="3">
        <v>5000000</v>
      </c>
      <c r="I42" s="155"/>
      <c r="J42" s="3">
        <v>5000000</v>
      </c>
      <c r="K42" s="6">
        <f>H42+I42-J42</f>
        <v>0</v>
      </c>
      <c r="L42" s="6">
        <f>K42</f>
        <v>0</v>
      </c>
      <c r="M42" s="3"/>
      <c r="N42" s="3">
        <v>0</v>
      </c>
      <c r="O42" s="17">
        <f>134426.23+69453.55+67213.11+69453.55+67213.11+69453.55+69453.55+67213.11+69453.55+67213.11+33606.56-13442.63</f>
        <v>770710.35</v>
      </c>
      <c r="P42" s="17">
        <f>69453.55+64972.68+69453.55+67213.11+69453.55+67213.11+69453.55+69453.55+67213.11+69453.55+67213.11+33606.56-13442.63</f>
        <v>770710.35</v>
      </c>
      <c r="Q42" s="6">
        <f>N42+O42-P42</f>
        <v>0</v>
      </c>
      <c r="R42" s="6">
        <f>K42+N42+O42-P42</f>
        <v>0</v>
      </c>
      <c r="S42" s="25"/>
    </row>
    <row r="43" spans="1:19" ht="69" customHeight="1">
      <c r="A43" s="152">
        <v>3</v>
      </c>
      <c r="B43" s="42" t="s">
        <v>23</v>
      </c>
      <c r="C43" s="145" t="s">
        <v>68</v>
      </c>
      <c r="D43" s="132" t="s">
        <v>58</v>
      </c>
      <c r="E43" s="17"/>
      <c r="F43" s="132" t="s">
        <v>69</v>
      </c>
      <c r="G43" s="133" t="s">
        <v>28</v>
      </c>
      <c r="H43" s="3"/>
      <c r="I43" s="155">
        <v>10000000</v>
      </c>
      <c r="J43" s="3"/>
      <c r="K43" s="6">
        <f>H43+I43-J43</f>
        <v>10000000</v>
      </c>
      <c r="L43" s="6">
        <f>K43</f>
        <v>10000000</v>
      </c>
      <c r="M43" s="3"/>
      <c r="N43" s="3">
        <v>0</v>
      </c>
      <c r="O43" s="3">
        <f>110420.77+155592.9+150573.77+152054.65+152459.02+147540.98+144297.83+4472.66+143442.62+148224.04</f>
        <v>1309079.24</v>
      </c>
      <c r="P43" s="17">
        <f>110420.77+155592.9+150573.77+152054.65+152459.02+147540.98+144297.83+4472.66+143442.62+148224.04</f>
        <v>1309079.24</v>
      </c>
      <c r="Q43" s="6">
        <f>N43+O43-P43</f>
        <v>0</v>
      </c>
      <c r="R43" s="6">
        <f>K43+N43+O43-P43</f>
        <v>10000000</v>
      </c>
      <c r="S43" s="25"/>
    </row>
    <row r="44" spans="1:19" ht="69" customHeight="1">
      <c r="A44" s="152">
        <v>4</v>
      </c>
      <c r="B44" s="42" t="s">
        <v>23</v>
      </c>
      <c r="C44" s="145" t="s">
        <v>77</v>
      </c>
      <c r="D44" s="132" t="s">
        <v>58</v>
      </c>
      <c r="E44" s="17"/>
      <c r="F44" s="158">
        <v>43439</v>
      </c>
      <c r="G44" s="133"/>
      <c r="H44" s="3"/>
      <c r="I44" s="155">
        <v>8000000</v>
      </c>
      <c r="J44" s="3"/>
      <c r="K44" s="6">
        <f>H44+I44-J44</f>
        <v>8000000</v>
      </c>
      <c r="L44" s="6">
        <f>K44</f>
        <v>8000000</v>
      </c>
      <c r="M44" s="3"/>
      <c r="N44" s="3"/>
      <c r="O44" s="3">
        <v>81311.48</v>
      </c>
      <c r="P44" s="17">
        <v>81311.48</v>
      </c>
      <c r="Q44" s="6">
        <f>N44+O44-P44</f>
        <v>0</v>
      </c>
      <c r="R44" s="6">
        <f>K44+N44+O44-P44</f>
        <v>8000000</v>
      </c>
      <c r="S44" s="25"/>
    </row>
    <row r="45" spans="1:19" ht="16.5" customHeight="1" thickBot="1">
      <c r="A45" s="95" t="s">
        <v>21</v>
      </c>
      <c r="B45" s="143"/>
      <c r="C45" s="143"/>
      <c r="D45" s="14"/>
      <c r="E45" s="14"/>
      <c r="F45" s="14"/>
      <c r="G45" s="14"/>
      <c r="H45" s="1">
        <f>H41+H42+H43+H44</f>
        <v>14000000</v>
      </c>
      <c r="I45" s="1">
        <f aca="true" t="shared" si="5" ref="I45:R45">I41+I42+I43+I44</f>
        <v>18000000</v>
      </c>
      <c r="J45" s="1">
        <f t="shared" si="5"/>
        <v>5000000</v>
      </c>
      <c r="K45" s="1">
        <f t="shared" si="5"/>
        <v>27000000</v>
      </c>
      <c r="L45" s="1">
        <f t="shared" si="5"/>
        <v>27000000</v>
      </c>
      <c r="M45" s="1">
        <f t="shared" si="5"/>
        <v>0</v>
      </c>
      <c r="N45" s="1">
        <f t="shared" si="5"/>
        <v>0</v>
      </c>
      <c r="O45" s="1">
        <f t="shared" si="5"/>
        <v>3836183.03</v>
      </c>
      <c r="P45" s="1">
        <f t="shared" si="5"/>
        <v>3836183.03</v>
      </c>
      <c r="Q45" s="1">
        <f t="shared" si="5"/>
        <v>0</v>
      </c>
      <c r="R45" s="1">
        <f t="shared" si="5"/>
        <v>27000000</v>
      </c>
      <c r="S45" s="1">
        <f>S41+S42+S43</f>
        <v>0</v>
      </c>
    </row>
    <row r="46" spans="1:35" s="83" customFormat="1" ht="18" customHeight="1" thickBot="1">
      <c r="A46" s="101" t="s">
        <v>5</v>
      </c>
      <c r="B46" s="102" t="s">
        <v>22</v>
      </c>
      <c r="C46" s="102"/>
      <c r="D46" s="148"/>
      <c r="E46" s="148"/>
      <c r="F46" s="148"/>
      <c r="G46" s="148"/>
      <c r="H46" s="148"/>
      <c r="I46" s="143"/>
      <c r="J46" s="143"/>
      <c r="K46" s="143"/>
      <c r="L46" s="143"/>
      <c r="M46" s="143"/>
      <c r="N46" s="143"/>
      <c r="O46" s="143"/>
      <c r="P46" s="151"/>
      <c r="Q46" s="143"/>
      <c r="R46" s="149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s="83" customFormat="1" ht="69.75" customHeight="1" hidden="1">
      <c r="A47" s="101"/>
      <c r="B47" s="103"/>
      <c r="C47" s="104"/>
      <c r="D47" s="104"/>
      <c r="E47" s="105"/>
      <c r="F47" s="104"/>
      <c r="G47" s="46"/>
      <c r="H47" s="62"/>
      <c r="I47" s="62"/>
      <c r="J47" s="33"/>
      <c r="K47" s="62"/>
      <c r="L47" s="32"/>
      <c r="M47" s="21"/>
      <c r="N47" s="21"/>
      <c r="O47" s="21"/>
      <c r="P47" s="150"/>
      <c r="Q47" s="62"/>
      <c r="R47" s="62"/>
      <c r="S47" s="82"/>
      <c r="T47" s="106"/>
      <c r="U47" s="106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s="83" customFormat="1" ht="18" customHeight="1" thickBot="1">
      <c r="A48" s="107" t="s">
        <v>21</v>
      </c>
      <c r="B48" s="108"/>
      <c r="C48" s="109"/>
      <c r="D48" s="109"/>
      <c r="E48" s="110"/>
      <c r="F48" s="111"/>
      <c r="G48" s="104"/>
      <c r="H48" s="34">
        <f>H47</f>
        <v>0</v>
      </c>
      <c r="I48" s="34">
        <f>I47</f>
        <v>0</v>
      </c>
      <c r="J48" s="34">
        <f>J47</f>
        <v>0</v>
      </c>
      <c r="K48" s="34">
        <f>K47</f>
        <v>0</v>
      </c>
      <c r="L48" s="34">
        <f>L47</f>
        <v>0</v>
      </c>
      <c r="M48" s="22">
        <v>3</v>
      </c>
      <c r="N48" s="22">
        <v>0</v>
      </c>
      <c r="O48" s="22">
        <v>0</v>
      </c>
      <c r="P48" s="22">
        <v>0</v>
      </c>
      <c r="Q48" s="34">
        <f>K48</f>
        <v>0</v>
      </c>
      <c r="R48" s="34">
        <f>Q48</f>
        <v>0</v>
      </c>
      <c r="S48" s="82"/>
      <c r="T48" s="11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20" ht="16.5" customHeight="1" thickBot="1">
      <c r="A49" s="113"/>
      <c r="B49" s="20" t="s">
        <v>16</v>
      </c>
      <c r="C49" s="19"/>
      <c r="D49" s="19"/>
      <c r="E49" s="19"/>
      <c r="F49" s="100"/>
      <c r="G49" s="114"/>
      <c r="H49" s="23">
        <f>H39+H47+H45</f>
        <v>94273000</v>
      </c>
      <c r="I49" s="23">
        <f aca="true" t="shared" si="6" ref="I49:R49">I39+I47+I45</f>
        <v>58800000</v>
      </c>
      <c r="J49" s="23">
        <f t="shared" si="6"/>
        <v>18088000</v>
      </c>
      <c r="K49" s="23">
        <f>K39+K47+K45</f>
        <v>134985000</v>
      </c>
      <c r="L49" s="23">
        <f t="shared" si="6"/>
        <v>134985000</v>
      </c>
      <c r="M49" s="23">
        <f t="shared" si="6"/>
        <v>0</v>
      </c>
      <c r="N49" s="23">
        <f t="shared" si="6"/>
        <v>176423.22</v>
      </c>
      <c r="O49" s="23">
        <f t="shared" si="6"/>
        <v>6332976</v>
      </c>
      <c r="P49" s="23">
        <f t="shared" si="6"/>
        <v>6292580.5</v>
      </c>
      <c r="Q49" s="23">
        <f t="shared" si="6"/>
        <v>216818.72000000003</v>
      </c>
      <c r="R49" s="23">
        <f t="shared" si="6"/>
        <v>135201818.71999997</v>
      </c>
      <c r="S49" s="25"/>
      <c r="T49" s="115"/>
    </row>
    <row r="50" spans="1:19" ht="16.5" customHeight="1">
      <c r="A50" s="25"/>
      <c r="B50" s="82"/>
      <c r="C50" s="10"/>
      <c r="D50" s="10"/>
      <c r="E50" s="10"/>
      <c r="F50" s="10"/>
      <c r="G50" s="10"/>
      <c r="H50" s="24"/>
      <c r="I50" s="24"/>
      <c r="J50" s="24"/>
      <c r="K50" s="24"/>
      <c r="L50" s="24"/>
      <c r="M50" s="40"/>
      <c r="N50" s="24"/>
      <c r="O50" s="24"/>
      <c r="P50" s="24"/>
      <c r="Q50" s="24"/>
      <c r="R50" s="24"/>
      <c r="S50" s="25"/>
    </row>
    <row r="51" spans="1:19" ht="16.5" customHeight="1">
      <c r="A51" s="25"/>
      <c r="B51" s="10" t="s">
        <v>36</v>
      </c>
      <c r="C51" s="10"/>
      <c r="D51" s="10"/>
      <c r="E51" s="10"/>
      <c r="F51" s="10"/>
      <c r="G51" s="10"/>
      <c r="H51" s="24" t="s">
        <v>45</v>
      </c>
      <c r="I51" s="24"/>
      <c r="J51" s="24"/>
      <c r="K51" s="24"/>
      <c r="L51" s="24"/>
      <c r="M51" s="40"/>
      <c r="N51" s="24"/>
      <c r="O51" s="24"/>
      <c r="P51" s="40"/>
      <c r="Q51" s="24"/>
      <c r="R51" s="24"/>
      <c r="S51" s="25"/>
    </row>
    <row r="52" spans="1:19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4"/>
      <c r="Q52" s="10"/>
      <c r="R52" s="10"/>
      <c r="S52" s="25"/>
    </row>
    <row r="53" spans="1:19" ht="15.75" customHeight="1">
      <c r="A53" s="25"/>
      <c r="B53" s="10" t="s">
        <v>27</v>
      </c>
      <c r="C53" s="10"/>
      <c r="D53" s="116"/>
      <c r="E53" s="117"/>
      <c r="F53" s="117"/>
      <c r="G53" s="117"/>
      <c r="H53" s="35" t="s">
        <v>67</v>
      </c>
      <c r="I53" s="35"/>
      <c r="J53" s="35"/>
      <c r="K53" s="35"/>
      <c r="L53" s="35"/>
      <c r="M53" s="10"/>
      <c r="N53" s="10"/>
      <c r="O53" s="10"/>
      <c r="P53" s="10"/>
      <c r="Q53" s="10"/>
      <c r="R53" s="10"/>
      <c r="S53" s="25"/>
    </row>
    <row r="54" spans="1:19" ht="15.75" customHeight="1">
      <c r="A54" s="25"/>
      <c r="B54" s="10" t="s">
        <v>26</v>
      </c>
      <c r="C54" s="10"/>
      <c r="D54" s="116"/>
      <c r="E54" s="117"/>
      <c r="F54" s="117"/>
      <c r="G54" s="117"/>
      <c r="H54" s="35"/>
      <c r="I54" s="35"/>
      <c r="J54" s="35"/>
      <c r="K54" s="118"/>
      <c r="L54" s="118"/>
      <c r="M54" s="10"/>
      <c r="N54" s="10"/>
      <c r="O54" s="10"/>
      <c r="P54" s="10"/>
      <c r="Q54" s="10"/>
      <c r="R54" s="10"/>
      <c r="S54" s="25"/>
    </row>
    <row r="55" spans="1:19" ht="12.75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0.75" customHeight="1">
      <c r="A56" s="25"/>
      <c r="B56" s="10"/>
      <c r="C56" s="10"/>
      <c r="D56" s="39"/>
      <c r="E56" s="10"/>
      <c r="F56" s="10"/>
      <c r="G56" s="10"/>
      <c r="H56" s="119"/>
      <c r="I56" s="36"/>
      <c r="J56" s="36"/>
      <c r="K56" s="36"/>
      <c r="L56" s="36"/>
      <c r="M56" s="10"/>
      <c r="N56" s="10"/>
      <c r="O56" s="10"/>
      <c r="P56" s="10"/>
      <c r="Q56" s="10"/>
      <c r="R56" s="10"/>
      <c r="S56" s="25"/>
    </row>
    <row r="57" spans="1:19" ht="14.25" customHeight="1" hidden="1">
      <c r="A57" s="25"/>
      <c r="B57" s="10"/>
      <c r="C57" s="10"/>
      <c r="D57" s="39"/>
      <c r="E57" s="10"/>
      <c r="F57" s="10"/>
      <c r="G57" s="10"/>
      <c r="H57" s="36"/>
      <c r="I57" s="36"/>
      <c r="J57" s="36"/>
      <c r="K57" s="36"/>
      <c r="L57" s="36"/>
      <c r="M57" s="10"/>
      <c r="N57" s="10"/>
      <c r="O57" s="10"/>
      <c r="P57" s="10"/>
      <c r="Q57" s="10"/>
      <c r="R57" s="10"/>
      <c r="S57" s="25"/>
    </row>
    <row r="58" spans="1:19" ht="13.5" customHeight="1" hidden="1">
      <c r="A58" s="25"/>
      <c r="B58" s="10"/>
      <c r="C58" s="10"/>
      <c r="D58" s="10"/>
      <c r="E58" s="10"/>
      <c r="F58" s="10"/>
      <c r="G58" s="10"/>
      <c r="H58" s="37"/>
      <c r="I58" s="37"/>
      <c r="J58" s="37"/>
      <c r="K58" s="37"/>
      <c r="L58" s="37"/>
      <c r="M58" s="10"/>
      <c r="N58" s="10"/>
      <c r="O58" s="10"/>
      <c r="P58" s="10"/>
      <c r="Q58" s="10"/>
      <c r="R58" s="10"/>
      <c r="S58" s="25"/>
    </row>
    <row r="59" spans="2:18" s="25" customFormat="1" ht="12.75" customHeight="1">
      <c r="B59" s="10" t="s">
        <v>14</v>
      </c>
      <c r="C59" s="39"/>
      <c r="D59" s="120"/>
      <c r="E59" s="121"/>
      <c r="F59" s="10"/>
      <c r="G59" s="10"/>
      <c r="H59" s="37"/>
      <c r="I59" s="37"/>
      <c r="J59" s="37"/>
      <c r="K59" s="37"/>
      <c r="L59" s="37"/>
      <c r="M59" s="10"/>
      <c r="N59" s="10"/>
      <c r="O59" s="10"/>
      <c r="P59" s="10"/>
      <c r="Q59" s="10"/>
      <c r="R59" s="10"/>
    </row>
    <row r="60" spans="1:18" s="25" customFormat="1" ht="9.75" customHeight="1">
      <c r="A60" s="122"/>
      <c r="B60" s="123" t="s">
        <v>20</v>
      </c>
      <c r="C60" s="10"/>
      <c r="D60" s="10"/>
      <c r="E60" s="124"/>
      <c r="F60" s="124"/>
      <c r="G60" s="125"/>
      <c r="H60" s="38"/>
      <c r="I60" s="38"/>
      <c r="J60" s="38"/>
      <c r="K60" s="38"/>
      <c r="L60" s="38"/>
      <c r="M60" s="10"/>
      <c r="N60" s="10"/>
      <c r="O60" s="10"/>
      <c r="P60" s="10"/>
      <c r="Q60" s="10"/>
      <c r="R60" s="10"/>
    </row>
    <row r="61" spans="2:18" s="25" customFormat="1" ht="12.75">
      <c r="B61" s="39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126"/>
      <c r="G65" s="126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2"/>
      <c r="B66" s="122"/>
      <c r="C66" s="127"/>
      <c r="D66" s="127"/>
      <c r="E66" s="127"/>
      <c r="F66" s="127"/>
      <c r="G66" s="127"/>
      <c r="H66" s="39"/>
      <c r="I66" s="39"/>
      <c r="J66" s="39"/>
      <c r="K66" s="39"/>
      <c r="L66" s="39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8"/>
      <c r="B70" s="10"/>
      <c r="C70" s="10"/>
      <c r="D70" s="10"/>
      <c r="E70" s="125"/>
      <c r="F70" s="125"/>
      <c r="G70" s="125"/>
      <c r="H70" s="38"/>
      <c r="I70" s="38"/>
      <c r="J70" s="38"/>
      <c r="K70" s="38"/>
      <c r="L70" s="38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29"/>
      <c r="G72" s="129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29"/>
      <c r="G73" s="129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2"/>
      <c r="B74" s="122"/>
      <c r="C74" s="122"/>
      <c r="D74" s="122"/>
      <c r="E74" s="122"/>
      <c r="F74" s="122"/>
      <c r="G74" s="130"/>
      <c r="H74" s="131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17"/>
      <c r="G76" s="117"/>
      <c r="H76" s="35"/>
      <c r="I76" s="35"/>
      <c r="J76" s="35"/>
      <c r="K76" s="118"/>
      <c r="L76" s="118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39"/>
      <c r="E77" s="10"/>
      <c r="F77" s="10"/>
      <c r="G77" s="10"/>
      <c r="H77" s="36"/>
      <c r="I77" s="36"/>
      <c r="J77" s="36"/>
      <c r="K77" s="36"/>
      <c r="L77" s="36"/>
      <c r="M77" s="10"/>
      <c r="N77" s="10"/>
      <c r="O77" s="10"/>
      <c r="Q77" s="10"/>
      <c r="R77" s="10"/>
    </row>
    <row r="78" s="25" customFormat="1" ht="12.75">
      <c r="P78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8"/>
  <sheetViews>
    <sheetView zoomScalePageLayoutView="0" workbookViewId="0" topLeftCell="A22">
      <selection activeCell="H28" sqref="H2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40</v>
      </c>
      <c r="J8" s="11" t="s">
        <v>54</v>
      </c>
      <c r="K8" s="11" t="s">
        <v>82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v>120000</v>
      </c>
      <c r="K25" s="53">
        <f t="shared" si="0"/>
        <v>719000</v>
      </c>
      <c r="L25" s="47">
        <f t="shared" si="1"/>
        <v>719000</v>
      </c>
      <c r="M25" s="7"/>
      <c r="N25" s="7">
        <v>71.06</v>
      </c>
      <c r="O25" s="5">
        <f>63.04</f>
        <v>63.04</v>
      </c>
      <c r="P25" s="7">
        <f>71.06</f>
        <v>71.06</v>
      </c>
      <c r="Q25" s="6">
        <f t="shared" si="2"/>
        <v>63.03999999999999</v>
      </c>
      <c r="R25" s="48">
        <f t="shared" si="3"/>
        <v>719063.04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v>312000</v>
      </c>
      <c r="K26" s="53">
        <f t="shared" si="0"/>
        <v>1872000</v>
      </c>
      <c r="L26" s="47">
        <f t="shared" si="1"/>
        <v>1872000</v>
      </c>
      <c r="M26" s="7"/>
      <c r="N26" s="7">
        <v>184.98</v>
      </c>
      <c r="O26" s="5">
        <f>164.12</f>
        <v>164.12</v>
      </c>
      <c r="P26" s="7">
        <f>184.98</f>
        <v>184.98</v>
      </c>
      <c r="Q26" s="6">
        <f t="shared" si="2"/>
        <v>164.12000000000003</v>
      </c>
      <c r="R26" s="48">
        <f t="shared" si="3"/>
        <v>1872164.12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32"/>
      <c r="J29" s="32"/>
      <c r="K29" s="53">
        <f t="shared" si="0"/>
        <v>7107000</v>
      </c>
      <c r="L29" s="47">
        <f t="shared" si="1"/>
        <v>7107000</v>
      </c>
      <c r="M29" s="7"/>
      <c r="N29" s="7">
        <v>4471.68</v>
      </c>
      <c r="O29" s="5">
        <f>4483.94</f>
        <v>4483.94</v>
      </c>
      <c r="P29" s="7">
        <f>4471.68</f>
        <v>4471.68</v>
      </c>
      <c r="Q29" s="6">
        <f t="shared" si="2"/>
        <v>4483.939999999999</v>
      </c>
      <c r="R29" s="48">
        <f t="shared" si="3"/>
        <v>7111483.94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48</v>
      </c>
      <c r="D30" s="52" t="s">
        <v>34</v>
      </c>
      <c r="E30" s="44">
        <v>7000000</v>
      </c>
      <c r="F30" s="45" t="s">
        <v>47</v>
      </c>
      <c r="G30" s="46" t="s">
        <v>28</v>
      </c>
      <c r="H30" s="32">
        <v>5055000</v>
      </c>
      <c r="I30" s="32"/>
      <c r="J30" s="32"/>
      <c r="K30" s="53">
        <f t="shared" si="0"/>
        <v>5055000</v>
      </c>
      <c r="L30" s="47">
        <f t="shared" si="1"/>
        <v>5055000</v>
      </c>
      <c r="M30" s="7"/>
      <c r="N30" s="7">
        <v>6583.31</v>
      </c>
      <c r="O30" s="5">
        <f>6601.35</f>
        <v>6601.35</v>
      </c>
      <c r="P30" s="7">
        <f>6583.31</f>
        <v>6583.31</v>
      </c>
      <c r="Q30" s="6">
        <f t="shared" si="2"/>
        <v>6601.349999999999</v>
      </c>
      <c r="R30" s="48">
        <f t="shared" si="3"/>
        <v>5061601.35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50</v>
      </c>
      <c r="D31" s="52" t="s">
        <v>34</v>
      </c>
      <c r="E31" s="44">
        <v>6000000</v>
      </c>
      <c r="F31" s="45" t="s">
        <v>51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16938.2</v>
      </c>
      <c r="O31" s="5">
        <f>16984.6</f>
        <v>16984.6</v>
      </c>
      <c r="P31" s="94">
        <f>16938.2</f>
        <v>16938.2</v>
      </c>
      <c r="Q31" s="6">
        <f t="shared" si="2"/>
        <v>16984.600000000002</v>
      </c>
      <c r="R31" s="48">
        <f t="shared" si="3"/>
        <v>6016984.6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52</v>
      </c>
      <c r="D32" s="43" t="s">
        <v>34</v>
      </c>
      <c r="E32" s="2">
        <v>10000000</v>
      </c>
      <c r="F32" s="93" t="s">
        <v>53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28230.33</v>
      </c>
      <c r="O32" s="134">
        <f>28307.67</f>
        <v>28307.67</v>
      </c>
      <c r="P32" s="135">
        <f>28230.33</f>
        <v>28230.33</v>
      </c>
      <c r="Q32" s="6">
        <f t="shared" si="2"/>
        <v>28307.67</v>
      </c>
      <c r="R32" s="48">
        <f t="shared" si="3"/>
        <v>10028307.67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55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28230.33</v>
      </c>
      <c r="O33" s="5">
        <f>28307.67</f>
        <v>28307.67</v>
      </c>
      <c r="P33" s="94">
        <f>28230.33</f>
        <v>28230.33</v>
      </c>
      <c r="Q33" s="6">
        <f t="shared" si="2"/>
        <v>28307.67</v>
      </c>
      <c r="R33" s="48">
        <f t="shared" si="3"/>
        <v>10028307.67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56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/>
      <c r="O34" s="5">
        <v>0</v>
      </c>
      <c r="P34" s="94"/>
      <c r="Q34" s="6"/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59</v>
      </c>
      <c r="D35" s="52" t="s">
        <v>34</v>
      </c>
      <c r="E35" s="44">
        <v>65000</v>
      </c>
      <c r="F35" s="45" t="s">
        <v>60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18349.71</v>
      </c>
      <c r="O35" s="5">
        <f>18399.99</f>
        <v>18399.99</v>
      </c>
      <c r="P35" s="140">
        <f>18349.71</f>
        <v>18349.71</v>
      </c>
      <c r="Q35" s="32">
        <f t="shared" si="2"/>
        <v>18399.989999999998</v>
      </c>
      <c r="R35" s="32">
        <f t="shared" si="3"/>
        <v>6518399.99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64</v>
      </c>
      <c r="D36" s="52" t="s">
        <v>34</v>
      </c>
      <c r="E36" s="44">
        <v>12400000</v>
      </c>
      <c r="F36" s="45" t="s">
        <v>60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35005.61</v>
      </c>
      <c r="O36" s="154">
        <f>35101.51</f>
        <v>35101.51</v>
      </c>
      <c r="P36" s="140">
        <f>35005.61</f>
        <v>35005.61</v>
      </c>
      <c r="Q36" s="32">
        <f t="shared" si="2"/>
        <v>35101.509999999995</v>
      </c>
      <c r="R36" s="32">
        <f t="shared" si="3"/>
        <v>12435101.51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70</v>
      </c>
      <c r="D37" s="52" t="s">
        <v>34</v>
      </c>
      <c r="E37" s="44">
        <v>24800000</v>
      </c>
      <c r="F37" s="45" t="s">
        <v>71</v>
      </c>
      <c r="G37" s="46" t="s">
        <v>28</v>
      </c>
      <c r="H37" s="137">
        <v>24800000</v>
      </c>
      <c r="I37" s="137"/>
      <c r="J37" s="138"/>
      <c r="K37" s="153">
        <f>H37+I37-J37</f>
        <v>24800000</v>
      </c>
      <c r="L37" s="153">
        <f>K37</f>
        <v>24800000</v>
      </c>
      <c r="M37" s="139"/>
      <c r="N37" s="139">
        <v>70011.21</v>
      </c>
      <c r="O37" s="154">
        <f>70203.02</f>
        <v>70203.02</v>
      </c>
      <c r="P37" s="140">
        <f>70011.21</f>
        <v>70011.21</v>
      </c>
      <c r="Q37" s="32">
        <f>N37+O37-P37</f>
        <v>70203.02</v>
      </c>
      <c r="R37" s="32">
        <f>K37+N37+O37-P37</f>
        <v>24870203.02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/>
      <c r="B38" s="42" t="s">
        <v>15</v>
      </c>
      <c r="C38" s="52" t="s">
        <v>76</v>
      </c>
      <c r="D38" s="52" t="s">
        <v>34</v>
      </c>
      <c r="E38" s="44">
        <v>16000000</v>
      </c>
      <c r="F38" s="45" t="s">
        <v>78</v>
      </c>
      <c r="G38" s="46" t="s">
        <v>28</v>
      </c>
      <c r="H38" s="137">
        <v>16000000</v>
      </c>
      <c r="I38" s="137"/>
      <c r="J38" s="138"/>
      <c r="K38" s="153">
        <f>H38+I38-J38</f>
        <v>16000000</v>
      </c>
      <c r="L38" s="153">
        <f>K38</f>
        <v>16000000</v>
      </c>
      <c r="M38" s="139"/>
      <c r="N38" s="139">
        <v>8742.3</v>
      </c>
      <c r="O38" s="154">
        <f>45292.27</f>
        <v>45292.27</v>
      </c>
      <c r="P38" s="140">
        <v>8742.3</v>
      </c>
      <c r="Q38" s="32">
        <f>N38+O38-P38</f>
        <v>45292.26999999999</v>
      </c>
      <c r="R38" s="32">
        <f>K38+N38+O38-P38</f>
        <v>16045292.27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.75" customHeight="1" thickBot="1">
      <c r="A39" s="95" t="s">
        <v>21</v>
      </c>
      <c r="B39" s="18"/>
      <c r="C39" s="18"/>
      <c r="D39" s="96"/>
      <c r="E39" s="97"/>
      <c r="F39" s="98"/>
      <c r="G39" s="98"/>
      <c r="H39" s="136">
        <f>H23+H24+H25+H26+H27+H28+H29+H30+H31+H32+H33+H34+H35+H36+H37+H38</f>
        <v>107985000</v>
      </c>
      <c r="I39" s="136">
        <f aca="true" t="shared" si="4" ref="I39:S39">I23+I24+I25+I26+I27+I28+I29+I30+I31+I32+I33+I34+I35+I36+I37+I38</f>
        <v>0</v>
      </c>
      <c r="J39" s="136">
        <f t="shared" si="4"/>
        <v>432000</v>
      </c>
      <c r="K39" s="136">
        <f t="shared" si="4"/>
        <v>107553000</v>
      </c>
      <c r="L39" s="136">
        <f t="shared" si="4"/>
        <v>107553000</v>
      </c>
      <c r="M39" s="136">
        <f t="shared" si="4"/>
        <v>0</v>
      </c>
      <c r="N39" s="136">
        <f t="shared" si="4"/>
        <v>216818.72000000003</v>
      </c>
      <c r="O39" s="136">
        <f t="shared" si="4"/>
        <v>253909.18000000002</v>
      </c>
      <c r="P39" s="136">
        <f t="shared" si="4"/>
        <v>216818.72000000003</v>
      </c>
      <c r="Q39" s="136">
        <f t="shared" si="4"/>
        <v>253909.18000000002</v>
      </c>
      <c r="R39" s="136">
        <f t="shared" si="4"/>
        <v>107806909.18</v>
      </c>
      <c r="S39" s="136">
        <f t="shared" si="4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19" ht="16.5" customHeight="1" thickBot="1">
      <c r="A40" s="141" t="s">
        <v>19</v>
      </c>
      <c r="B40" s="142" t="s">
        <v>23</v>
      </c>
      <c r="C40" s="142"/>
      <c r="D40" s="142"/>
      <c r="E40" s="142"/>
      <c r="F40" s="142"/>
      <c r="G40" s="20"/>
      <c r="H40" s="10"/>
      <c r="I40" s="10"/>
      <c r="J40" s="10"/>
      <c r="K40" s="10"/>
      <c r="L40" s="99"/>
      <c r="M40" s="10"/>
      <c r="N40" s="10"/>
      <c r="O40" s="10"/>
      <c r="P40" s="146"/>
      <c r="Q40" s="10"/>
      <c r="R40" s="147"/>
      <c r="S40" s="25"/>
    </row>
    <row r="41" spans="1:19" ht="69" customHeight="1">
      <c r="A41" s="144">
        <v>1</v>
      </c>
      <c r="B41" s="42" t="s">
        <v>23</v>
      </c>
      <c r="C41" s="145" t="s">
        <v>57</v>
      </c>
      <c r="D41" s="132" t="s">
        <v>58</v>
      </c>
      <c r="E41" s="17">
        <v>9000000</v>
      </c>
      <c r="F41" s="132" t="s">
        <v>63</v>
      </c>
      <c r="G41" s="133" t="s">
        <v>28</v>
      </c>
      <c r="H41" s="3">
        <v>9000000</v>
      </c>
      <c r="I41" s="155"/>
      <c r="J41" s="3"/>
      <c r="K41" s="6">
        <f>H41+I41-J41</f>
        <v>9000000</v>
      </c>
      <c r="L41" s="6">
        <f>K41</f>
        <v>9000000</v>
      </c>
      <c r="M41" s="3"/>
      <c r="N41" s="3">
        <v>0</v>
      </c>
      <c r="O41" s="3">
        <f>133767.12</f>
        <v>133767.12</v>
      </c>
      <c r="P41" s="17">
        <f>133767.12</f>
        <v>133767.12</v>
      </c>
      <c r="Q41" s="6">
        <f>N41+O41-P41</f>
        <v>0</v>
      </c>
      <c r="R41" s="6">
        <f>K41+N41+O41-P41</f>
        <v>9000000</v>
      </c>
      <c r="S41" s="25"/>
    </row>
    <row r="42" spans="1:19" ht="69" customHeight="1">
      <c r="A42" s="152">
        <v>2</v>
      </c>
      <c r="B42" s="42" t="s">
        <v>23</v>
      </c>
      <c r="C42" s="145" t="s">
        <v>61</v>
      </c>
      <c r="D42" s="132" t="s">
        <v>58</v>
      </c>
      <c r="E42" s="17">
        <v>5000000</v>
      </c>
      <c r="F42" s="132" t="s">
        <v>62</v>
      </c>
      <c r="G42" s="133" t="s">
        <v>28</v>
      </c>
      <c r="H42" s="3"/>
      <c r="I42" s="155"/>
      <c r="J42" s="3"/>
      <c r="K42" s="6">
        <f>H42+I42-J42</f>
        <v>0</v>
      </c>
      <c r="L42" s="6">
        <f>K42</f>
        <v>0</v>
      </c>
      <c r="M42" s="3"/>
      <c r="N42" s="3">
        <v>0</v>
      </c>
      <c r="O42" s="17"/>
      <c r="P42" s="17"/>
      <c r="Q42" s="6">
        <f>N42+O42-P42</f>
        <v>0</v>
      </c>
      <c r="R42" s="6">
        <f>K42+N42+O42-P42</f>
        <v>0</v>
      </c>
      <c r="S42" s="25"/>
    </row>
    <row r="43" spans="1:19" ht="69" customHeight="1">
      <c r="A43" s="152">
        <v>3</v>
      </c>
      <c r="B43" s="42" t="s">
        <v>23</v>
      </c>
      <c r="C43" s="145" t="s">
        <v>68</v>
      </c>
      <c r="D43" s="132" t="s">
        <v>58</v>
      </c>
      <c r="E43" s="17"/>
      <c r="F43" s="132" t="s">
        <v>80</v>
      </c>
      <c r="G43" s="133" t="s">
        <v>28</v>
      </c>
      <c r="H43" s="155">
        <v>10000000</v>
      </c>
      <c r="I43" s="155"/>
      <c r="J43" s="3"/>
      <c r="K43" s="6">
        <f>H43+I43-J43</f>
        <v>10000000</v>
      </c>
      <c r="L43" s="6">
        <f>K43</f>
        <v>10000000</v>
      </c>
      <c r="M43" s="3"/>
      <c r="N43" s="3">
        <v>0</v>
      </c>
      <c r="O43" s="3">
        <f>148630.14</f>
        <v>148630.14</v>
      </c>
      <c r="P43" s="17">
        <f>148630.14</f>
        <v>148630.14</v>
      </c>
      <c r="Q43" s="6">
        <f>N43+O43-P43</f>
        <v>0</v>
      </c>
      <c r="R43" s="6">
        <f>K43+N43+O43-P43</f>
        <v>10000000</v>
      </c>
      <c r="S43" s="25"/>
    </row>
    <row r="44" spans="1:19" ht="69" customHeight="1">
      <c r="A44" s="152">
        <v>4</v>
      </c>
      <c r="B44" s="42" t="s">
        <v>23</v>
      </c>
      <c r="C44" s="145" t="s">
        <v>77</v>
      </c>
      <c r="D44" s="132" t="s">
        <v>58</v>
      </c>
      <c r="E44" s="17"/>
      <c r="F44" s="158">
        <v>43439</v>
      </c>
      <c r="G44" s="133"/>
      <c r="H44" s="155">
        <v>8000000</v>
      </c>
      <c r="I44" s="155"/>
      <c r="J44" s="3"/>
      <c r="K44" s="6">
        <f>H44+I44-J44</f>
        <v>8000000</v>
      </c>
      <c r="L44" s="6">
        <f>K44</f>
        <v>8000000</v>
      </c>
      <c r="M44" s="3"/>
      <c r="N44" s="3"/>
      <c r="O44" s="3">
        <f>105315.07</f>
        <v>105315.07</v>
      </c>
      <c r="P44" s="17">
        <f>105315.07</f>
        <v>105315.07</v>
      </c>
      <c r="Q44" s="6">
        <f>N44+O44-P44</f>
        <v>0</v>
      </c>
      <c r="R44" s="6">
        <f>K44+N44+O44-P44</f>
        <v>8000000</v>
      </c>
      <c r="S44" s="25"/>
    </row>
    <row r="45" spans="1:19" ht="16.5" customHeight="1" thickBot="1">
      <c r="A45" s="95" t="s">
        <v>21</v>
      </c>
      <c r="B45" s="143"/>
      <c r="C45" s="143"/>
      <c r="D45" s="14"/>
      <c r="E45" s="14"/>
      <c r="F45" s="14"/>
      <c r="G45" s="14"/>
      <c r="H45" s="1">
        <f>H41+H42+H43+H44</f>
        <v>27000000</v>
      </c>
      <c r="I45" s="1">
        <f aca="true" t="shared" si="5" ref="I45:R45">I41+I42+I43+I44</f>
        <v>0</v>
      </c>
      <c r="J45" s="1">
        <f t="shared" si="5"/>
        <v>0</v>
      </c>
      <c r="K45" s="1">
        <f t="shared" si="5"/>
        <v>27000000</v>
      </c>
      <c r="L45" s="1">
        <f t="shared" si="5"/>
        <v>27000000</v>
      </c>
      <c r="M45" s="1">
        <f t="shared" si="5"/>
        <v>0</v>
      </c>
      <c r="N45" s="1">
        <f t="shared" si="5"/>
        <v>0</v>
      </c>
      <c r="O45" s="1">
        <f t="shared" si="5"/>
        <v>387712.33</v>
      </c>
      <c r="P45" s="1">
        <f t="shared" si="5"/>
        <v>387712.33</v>
      </c>
      <c r="Q45" s="1">
        <f t="shared" si="5"/>
        <v>0</v>
      </c>
      <c r="R45" s="1">
        <f t="shared" si="5"/>
        <v>27000000</v>
      </c>
      <c r="S45" s="1">
        <f>S41+S42+S43</f>
        <v>0</v>
      </c>
    </row>
    <row r="46" spans="1:35" s="83" customFormat="1" ht="18" customHeight="1" thickBot="1">
      <c r="A46" s="101" t="s">
        <v>5</v>
      </c>
      <c r="B46" s="102" t="s">
        <v>22</v>
      </c>
      <c r="C46" s="102"/>
      <c r="D46" s="148"/>
      <c r="E46" s="148"/>
      <c r="F46" s="148"/>
      <c r="G46" s="148"/>
      <c r="H46" s="148"/>
      <c r="I46" s="143"/>
      <c r="J46" s="143"/>
      <c r="K46" s="143"/>
      <c r="L46" s="143"/>
      <c r="M46" s="143"/>
      <c r="N46" s="143"/>
      <c r="O46" s="143"/>
      <c r="P46" s="151"/>
      <c r="Q46" s="143"/>
      <c r="R46" s="149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s="83" customFormat="1" ht="69.75" customHeight="1" hidden="1">
      <c r="A47" s="101"/>
      <c r="B47" s="103"/>
      <c r="C47" s="104"/>
      <c r="D47" s="104"/>
      <c r="E47" s="105"/>
      <c r="F47" s="104"/>
      <c r="G47" s="46"/>
      <c r="H47" s="62"/>
      <c r="I47" s="62"/>
      <c r="J47" s="33"/>
      <c r="K47" s="62"/>
      <c r="L47" s="32"/>
      <c r="M47" s="21"/>
      <c r="N47" s="21"/>
      <c r="O47" s="21"/>
      <c r="P47" s="150"/>
      <c r="Q47" s="62"/>
      <c r="R47" s="62"/>
      <c r="S47" s="82"/>
      <c r="T47" s="106"/>
      <c r="U47" s="106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s="83" customFormat="1" ht="18" customHeight="1" thickBot="1">
      <c r="A48" s="107" t="s">
        <v>21</v>
      </c>
      <c r="B48" s="108"/>
      <c r="C48" s="109"/>
      <c r="D48" s="109"/>
      <c r="E48" s="110"/>
      <c r="F48" s="111"/>
      <c r="G48" s="104"/>
      <c r="H48" s="34">
        <f>H47</f>
        <v>0</v>
      </c>
      <c r="I48" s="34">
        <f>I47</f>
        <v>0</v>
      </c>
      <c r="J48" s="34">
        <f>J47</f>
        <v>0</v>
      </c>
      <c r="K48" s="34">
        <f>K47</f>
        <v>0</v>
      </c>
      <c r="L48" s="34">
        <f>L47</f>
        <v>0</v>
      </c>
      <c r="M48" s="22">
        <v>3</v>
      </c>
      <c r="N48" s="22">
        <v>0</v>
      </c>
      <c r="O48" s="22">
        <v>0</v>
      </c>
      <c r="P48" s="22">
        <v>0</v>
      </c>
      <c r="Q48" s="34">
        <f>K48</f>
        <v>0</v>
      </c>
      <c r="R48" s="34">
        <f>Q48</f>
        <v>0</v>
      </c>
      <c r="S48" s="82"/>
      <c r="T48" s="11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20" ht="16.5" customHeight="1" thickBot="1">
      <c r="A49" s="113"/>
      <c r="B49" s="20" t="s">
        <v>16</v>
      </c>
      <c r="C49" s="19"/>
      <c r="D49" s="19"/>
      <c r="E49" s="19"/>
      <c r="F49" s="100"/>
      <c r="G49" s="114"/>
      <c r="H49" s="23">
        <f>H39+H47+H45</f>
        <v>134985000</v>
      </c>
      <c r="I49" s="23">
        <f aca="true" t="shared" si="6" ref="I49:R49">I39+I47+I45</f>
        <v>0</v>
      </c>
      <c r="J49" s="23">
        <f t="shared" si="6"/>
        <v>432000</v>
      </c>
      <c r="K49" s="23">
        <f>K39+K47+K45</f>
        <v>134553000</v>
      </c>
      <c r="L49" s="23">
        <f t="shared" si="6"/>
        <v>134553000</v>
      </c>
      <c r="M49" s="23">
        <f t="shared" si="6"/>
        <v>0</v>
      </c>
      <c r="N49" s="23">
        <f t="shared" si="6"/>
        <v>216818.72000000003</v>
      </c>
      <c r="O49" s="23">
        <f t="shared" si="6"/>
        <v>641621.51</v>
      </c>
      <c r="P49" s="23">
        <f t="shared" si="6"/>
        <v>604531.05</v>
      </c>
      <c r="Q49" s="23">
        <f t="shared" si="6"/>
        <v>253909.18000000002</v>
      </c>
      <c r="R49" s="23">
        <f t="shared" si="6"/>
        <v>134806909.18</v>
      </c>
      <c r="S49" s="25"/>
      <c r="T49" s="115"/>
    </row>
    <row r="50" spans="1:19" ht="16.5" customHeight="1">
      <c r="A50" s="25"/>
      <c r="B50" s="82"/>
      <c r="C50" s="10"/>
      <c r="D50" s="10"/>
      <c r="E50" s="10"/>
      <c r="F50" s="10"/>
      <c r="G50" s="10"/>
      <c r="H50" s="24"/>
      <c r="I50" s="24"/>
      <c r="J50" s="24"/>
      <c r="K50" s="24"/>
      <c r="L50" s="24"/>
      <c r="M50" s="40"/>
      <c r="N50" s="24"/>
      <c r="O50" s="24"/>
      <c r="P50" s="24"/>
      <c r="Q50" s="24"/>
      <c r="R50" s="24"/>
      <c r="S50" s="25"/>
    </row>
    <row r="51" spans="1:19" ht="16.5" customHeight="1">
      <c r="A51" s="25"/>
      <c r="B51" s="10" t="s">
        <v>36</v>
      </c>
      <c r="C51" s="10"/>
      <c r="D51" s="10"/>
      <c r="E51" s="10"/>
      <c r="F51" s="10"/>
      <c r="G51" s="10"/>
      <c r="H51" s="24" t="s">
        <v>45</v>
      </c>
      <c r="I51" s="24"/>
      <c r="J51" s="24"/>
      <c r="K51" s="24"/>
      <c r="L51" s="24"/>
      <c r="M51" s="40"/>
      <c r="N51" s="24"/>
      <c r="O51" s="24"/>
      <c r="P51" s="40"/>
      <c r="Q51" s="24"/>
      <c r="R51" s="24"/>
      <c r="S51" s="25"/>
    </row>
    <row r="52" spans="1:19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4"/>
      <c r="Q52" s="10"/>
      <c r="R52" s="10"/>
      <c r="S52" s="25"/>
    </row>
    <row r="53" spans="1:19" ht="15.75" customHeight="1">
      <c r="A53" s="25"/>
      <c r="B53" s="10" t="s">
        <v>27</v>
      </c>
      <c r="C53" s="10"/>
      <c r="D53" s="116"/>
      <c r="E53" s="117"/>
      <c r="F53" s="117"/>
      <c r="G53" s="117"/>
      <c r="H53" s="35" t="s">
        <v>67</v>
      </c>
      <c r="I53" s="35"/>
      <c r="J53" s="35"/>
      <c r="K53" s="35"/>
      <c r="L53" s="35"/>
      <c r="M53" s="10"/>
      <c r="N53" s="10"/>
      <c r="O53" s="10"/>
      <c r="P53" s="10"/>
      <c r="Q53" s="10"/>
      <c r="R53" s="10"/>
      <c r="S53" s="25"/>
    </row>
    <row r="54" spans="1:19" ht="15.75" customHeight="1">
      <c r="A54" s="25"/>
      <c r="B54" s="10" t="s">
        <v>26</v>
      </c>
      <c r="C54" s="10"/>
      <c r="D54" s="116"/>
      <c r="E54" s="117"/>
      <c r="F54" s="117"/>
      <c r="G54" s="117"/>
      <c r="H54" s="35"/>
      <c r="I54" s="35"/>
      <c r="J54" s="35"/>
      <c r="K54" s="118"/>
      <c r="L54" s="118"/>
      <c r="M54" s="10"/>
      <c r="N54" s="10"/>
      <c r="O54" s="10"/>
      <c r="P54" s="10"/>
      <c r="Q54" s="10"/>
      <c r="R54" s="10"/>
      <c r="S54" s="25"/>
    </row>
    <row r="55" spans="1:19" ht="12.75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0.75" customHeight="1">
      <c r="A56" s="25"/>
      <c r="B56" s="10"/>
      <c r="C56" s="10"/>
      <c r="D56" s="39"/>
      <c r="E56" s="10"/>
      <c r="F56" s="10"/>
      <c r="G56" s="10"/>
      <c r="H56" s="119"/>
      <c r="I56" s="36"/>
      <c r="J56" s="36"/>
      <c r="K56" s="36"/>
      <c r="L56" s="36"/>
      <c r="M56" s="10"/>
      <c r="N56" s="10"/>
      <c r="O56" s="10"/>
      <c r="P56" s="10"/>
      <c r="Q56" s="10"/>
      <c r="R56" s="10"/>
      <c r="S56" s="25"/>
    </row>
    <row r="57" spans="1:19" ht="14.25" customHeight="1" hidden="1">
      <c r="A57" s="25"/>
      <c r="B57" s="10"/>
      <c r="C57" s="10"/>
      <c r="D57" s="39"/>
      <c r="E57" s="10"/>
      <c r="F57" s="10"/>
      <c r="G57" s="10"/>
      <c r="H57" s="36"/>
      <c r="I57" s="36"/>
      <c r="J57" s="36"/>
      <c r="K57" s="36"/>
      <c r="L57" s="36"/>
      <c r="M57" s="10"/>
      <c r="N57" s="10"/>
      <c r="O57" s="10"/>
      <c r="P57" s="10"/>
      <c r="Q57" s="10"/>
      <c r="R57" s="10"/>
      <c r="S57" s="25"/>
    </row>
    <row r="58" spans="1:19" ht="13.5" customHeight="1" hidden="1">
      <c r="A58" s="25"/>
      <c r="B58" s="10"/>
      <c r="C58" s="10"/>
      <c r="D58" s="10"/>
      <c r="E58" s="10"/>
      <c r="F58" s="10"/>
      <c r="G58" s="10"/>
      <c r="H58" s="37"/>
      <c r="I58" s="37"/>
      <c r="J58" s="37"/>
      <c r="K58" s="37"/>
      <c r="L58" s="37"/>
      <c r="M58" s="10"/>
      <c r="N58" s="10"/>
      <c r="O58" s="10"/>
      <c r="P58" s="10"/>
      <c r="Q58" s="10"/>
      <c r="R58" s="10"/>
      <c r="S58" s="25"/>
    </row>
    <row r="59" spans="2:18" s="25" customFormat="1" ht="12.75" customHeight="1">
      <c r="B59" s="10" t="s">
        <v>14</v>
      </c>
      <c r="C59" s="39"/>
      <c r="D59" s="120"/>
      <c r="E59" s="121"/>
      <c r="F59" s="10"/>
      <c r="G59" s="10"/>
      <c r="H59" s="37"/>
      <c r="I59" s="37"/>
      <c r="J59" s="37"/>
      <c r="K59" s="37"/>
      <c r="L59" s="37"/>
      <c r="M59" s="10"/>
      <c r="N59" s="10"/>
      <c r="O59" s="10"/>
      <c r="P59" s="10"/>
      <c r="Q59" s="10"/>
      <c r="R59" s="10"/>
    </row>
    <row r="60" spans="1:18" s="25" customFormat="1" ht="9.75" customHeight="1">
      <c r="A60" s="122"/>
      <c r="B60" s="123" t="s">
        <v>20</v>
      </c>
      <c r="C60" s="10"/>
      <c r="D60" s="10"/>
      <c r="E60" s="124"/>
      <c r="F60" s="124"/>
      <c r="G60" s="125"/>
      <c r="H60" s="38"/>
      <c r="I60" s="38"/>
      <c r="J60" s="38"/>
      <c r="K60" s="38"/>
      <c r="L60" s="38"/>
      <c r="M60" s="10"/>
      <c r="N60" s="10"/>
      <c r="O60" s="10"/>
      <c r="P60" s="10"/>
      <c r="Q60" s="10"/>
      <c r="R60" s="10"/>
    </row>
    <row r="61" spans="2:18" s="25" customFormat="1" ht="12.75">
      <c r="B61" s="39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126"/>
      <c r="G65" s="126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2"/>
      <c r="B66" s="122"/>
      <c r="C66" s="127"/>
      <c r="D66" s="127"/>
      <c r="E66" s="127"/>
      <c r="F66" s="127"/>
      <c r="G66" s="127"/>
      <c r="H66" s="39"/>
      <c r="I66" s="39"/>
      <c r="J66" s="39"/>
      <c r="K66" s="39"/>
      <c r="L66" s="39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8"/>
      <c r="B70" s="10"/>
      <c r="C70" s="10"/>
      <c r="D70" s="10"/>
      <c r="E70" s="125"/>
      <c r="F70" s="125"/>
      <c r="G70" s="125"/>
      <c r="H70" s="38"/>
      <c r="I70" s="38"/>
      <c r="J70" s="38"/>
      <c r="K70" s="38"/>
      <c r="L70" s="38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29"/>
      <c r="G72" s="129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29"/>
      <c r="G73" s="129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2"/>
      <c r="B74" s="122"/>
      <c r="C74" s="122"/>
      <c r="D74" s="122"/>
      <c r="E74" s="122"/>
      <c r="F74" s="122"/>
      <c r="G74" s="130"/>
      <c r="H74" s="131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17"/>
      <c r="G76" s="117"/>
      <c r="H76" s="35"/>
      <c r="I76" s="35"/>
      <c r="J76" s="35"/>
      <c r="K76" s="118"/>
      <c r="L76" s="118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39"/>
      <c r="E77" s="10"/>
      <c r="F77" s="10"/>
      <c r="G77" s="10"/>
      <c r="H77" s="36"/>
      <c r="I77" s="36"/>
      <c r="J77" s="36"/>
      <c r="K77" s="36"/>
      <c r="L77" s="36"/>
      <c r="M77" s="10"/>
      <c r="N77" s="10"/>
      <c r="O77" s="10"/>
      <c r="Q77" s="10"/>
      <c r="R77" s="10"/>
    </row>
    <row r="78" s="25" customFormat="1" ht="12.75">
      <c r="P78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8"/>
  <sheetViews>
    <sheetView zoomScalePageLayoutView="0" workbookViewId="0" topLeftCell="B8">
      <pane ySplit="3195" topLeftCell="A43" activePane="topLeft" state="split"/>
      <selection pane="topLeft" activeCell="R49" sqref="R49"/>
      <selection pane="bottomLeft" activeCell="B9" sqref="B9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84</v>
      </c>
      <c r="J8" s="11" t="s">
        <v>85</v>
      </c>
      <c r="K8" s="11" t="s">
        <v>86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</f>
        <v>240000</v>
      </c>
      <c r="K25" s="53">
        <f t="shared" si="0"/>
        <v>599000</v>
      </c>
      <c r="L25" s="47">
        <f t="shared" si="1"/>
        <v>599000</v>
      </c>
      <c r="M25" s="7"/>
      <c r="N25" s="7">
        <v>71.06</v>
      </c>
      <c r="O25" s="5">
        <f>63.04+52.2</f>
        <v>115.24000000000001</v>
      </c>
      <c r="P25" s="7">
        <f>71.06+63.04</f>
        <v>134.1</v>
      </c>
      <c r="Q25" s="6">
        <f t="shared" si="2"/>
        <v>52.20000000000002</v>
      </c>
      <c r="R25" s="48">
        <f t="shared" si="3"/>
        <v>599052.2000000001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</f>
        <v>624000</v>
      </c>
      <c r="K26" s="53">
        <f t="shared" si="0"/>
        <v>1560000</v>
      </c>
      <c r="L26" s="47">
        <f t="shared" si="1"/>
        <v>1560000</v>
      </c>
      <c r="M26" s="7"/>
      <c r="N26" s="7">
        <v>184.98</v>
      </c>
      <c r="O26" s="5">
        <f>164.12+135.92</f>
        <v>300.03999999999996</v>
      </c>
      <c r="P26" s="7">
        <f>184.98+164.12</f>
        <v>349.1</v>
      </c>
      <c r="Q26" s="6">
        <f t="shared" si="2"/>
        <v>135.91999999999996</v>
      </c>
      <c r="R26" s="48">
        <f t="shared" si="3"/>
        <v>1560135.92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32"/>
      <c r="J29" s="32"/>
      <c r="K29" s="53">
        <f t="shared" si="0"/>
        <v>7107000</v>
      </c>
      <c r="L29" s="47">
        <f t="shared" si="1"/>
        <v>7107000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7107000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48</v>
      </c>
      <c r="D30" s="52" t="s">
        <v>34</v>
      </c>
      <c r="E30" s="44">
        <v>7000000</v>
      </c>
      <c r="F30" s="45" t="s">
        <v>47</v>
      </c>
      <c r="G30" s="46" t="s">
        <v>28</v>
      </c>
      <c r="H30" s="32">
        <v>5055000</v>
      </c>
      <c r="I30" s="32"/>
      <c r="J30" s="32"/>
      <c r="K30" s="53">
        <f t="shared" si="0"/>
        <v>5055000</v>
      </c>
      <c r="L30" s="47">
        <f t="shared" si="1"/>
        <v>5055000</v>
      </c>
      <c r="M30" s="7"/>
      <c r="N30" s="7">
        <v>6583.31</v>
      </c>
      <c r="O30" s="5">
        <f>6601.35</f>
        <v>6601.35</v>
      </c>
      <c r="P30" s="7">
        <f>6583.31+6601.35</f>
        <v>13184.66</v>
      </c>
      <c r="Q30" s="6">
        <f t="shared" si="2"/>
        <v>0</v>
      </c>
      <c r="R30" s="48">
        <f t="shared" si="3"/>
        <v>5054999.999999999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50</v>
      </c>
      <c r="D31" s="52" t="s">
        <v>34</v>
      </c>
      <c r="E31" s="44">
        <v>6000000</v>
      </c>
      <c r="F31" s="45" t="s">
        <v>51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16938.2</v>
      </c>
      <c r="O31" s="5">
        <f>16984.6</f>
        <v>16984.6</v>
      </c>
      <c r="P31" s="94">
        <f>16938.2+16984.6</f>
        <v>33922.8</v>
      </c>
      <c r="Q31" s="6">
        <f t="shared" si="2"/>
        <v>0</v>
      </c>
      <c r="R31" s="48">
        <f t="shared" si="3"/>
        <v>6000000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52</v>
      </c>
      <c r="D32" s="43" t="s">
        <v>34</v>
      </c>
      <c r="E32" s="2">
        <v>10000000</v>
      </c>
      <c r="F32" s="93" t="s">
        <v>53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28230.33</v>
      </c>
      <c r="O32" s="134">
        <f>28307.67</f>
        <v>28307.67</v>
      </c>
      <c r="P32" s="135">
        <f>28230.33+28307.67</f>
        <v>56538</v>
      </c>
      <c r="Q32" s="6">
        <f t="shared" si="2"/>
        <v>0</v>
      </c>
      <c r="R32" s="48">
        <f t="shared" si="3"/>
        <v>10000000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55</v>
      </c>
      <c r="D33" s="43" t="s">
        <v>34</v>
      </c>
      <c r="E33" s="44">
        <v>10000000</v>
      </c>
      <c r="F33" s="45"/>
      <c r="G33" s="133" t="s">
        <v>28</v>
      </c>
      <c r="H33" s="32">
        <v>10000000</v>
      </c>
      <c r="I33" s="32"/>
      <c r="J33" s="32"/>
      <c r="K33" s="47">
        <f t="shared" si="0"/>
        <v>10000000</v>
      </c>
      <c r="L33" s="47">
        <f t="shared" si="1"/>
        <v>10000000</v>
      </c>
      <c r="M33" s="4"/>
      <c r="N33" s="4">
        <v>28230.33</v>
      </c>
      <c r="O33" s="5">
        <f>28307.67+25568.22</f>
        <v>53875.89</v>
      </c>
      <c r="P33" s="94">
        <f>28230.33+28307.67</f>
        <v>56538</v>
      </c>
      <c r="Q33" s="6">
        <f t="shared" si="2"/>
        <v>25568.22</v>
      </c>
      <c r="R33" s="48">
        <f t="shared" si="3"/>
        <v>10025568.22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56</v>
      </c>
      <c r="D34" s="43" t="s">
        <v>34</v>
      </c>
      <c r="E34" s="44">
        <v>15000000</v>
      </c>
      <c r="F34" s="45"/>
      <c r="G34" s="46" t="s">
        <v>28</v>
      </c>
      <c r="H34" s="32">
        <v>0</v>
      </c>
      <c r="I34" s="32"/>
      <c r="J34" s="32"/>
      <c r="K34" s="53">
        <f t="shared" si="0"/>
        <v>0</v>
      </c>
      <c r="L34" s="53">
        <f t="shared" si="1"/>
        <v>0</v>
      </c>
      <c r="M34" s="4"/>
      <c r="N34" s="4"/>
      <c r="O34" s="5">
        <v>0</v>
      </c>
      <c r="P34" s="94"/>
      <c r="Q34" s="6"/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59</v>
      </c>
      <c r="D35" s="52" t="s">
        <v>34</v>
      </c>
      <c r="E35" s="44">
        <v>65000</v>
      </c>
      <c r="F35" s="45" t="s">
        <v>60</v>
      </c>
      <c r="G35" s="46" t="s">
        <v>28</v>
      </c>
      <c r="H35" s="138">
        <v>6500000</v>
      </c>
      <c r="I35" s="138"/>
      <c r="J35" s="138"/>
      <c r="K35" s="53">
        <f t="shared" si="0"/>
        <v>6500000</v>
      </c>
      <c r="L35" s="53">
        <f t="shared" si="1"/>
        <v>6500000</v>
      </c>
      <c r="M35" s="139"/>
      <c r="N35" s="139">
        <v>18349.71</v>
      </c>
      <c r="O35" s="5">
        <f>18399.99+16619.34</f>
        <v>35019.33</v>
      </c>
      <c r="P35" s="140">
        <f>18349.71+18399.99</f>
        <v>36749.7</v>
      </c>
      <c r="Q35" s="32">
        <f t="shared" si="2"/>
        <v>16619.340000000004</v>
      </c>
      <c r="R35" s="32">
        <f t="shared" si="3"/>
        <v>6516619.34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64</v>
      </c>
      <c r="D36" s="52" t="s">
        <v>34</v>
      </c>
      <c r="E36" s="44">
        <v>12400000</v>
      </c>
      <c r="F36" s="45" t="s">
        <v>60</v>
      </c>
      <c r="G36" s="46" t="s">
        <v>28</v>
      </c>
      <c r="H36" s="138">
        <v>12400000</v>
      </c>
      <c r="I36" s="138"/>
      <c r="J36" s="138"/>
      <c r="K36" s="153">
        <f t="shared" si="0"/>
        <v>12400000</v>
      </c>
      <c r="L36" s="153">
        <f t="shared" si="1"/>
        <v>12400000</v>
      </c>
      <c r="M36" s="139"/>
      <c r="N36" s="139">
        <v>35005.61</v>
      </c>
      <c r="O36" s="154">
        <f>35101.51+31704.59</f>
        <v>66806.1</v>
      </c>
      <c r="P36" s="140">
        <f>35005.61+35101.51</f>
        <v>70107.12</v>
      </c>
      <c r="Q36" s="32">
        <f t="shared" si="2"/>
        <v>31704.59000000001</v>
      </c>
      <c r="R36" s="32">
        <f t="shared" si="3"/>
        <v>12431704.59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70</v>
      </c>
      <c r="D37" s="52" t="s">
        <v>34</v>
      </c>
      <c r="E37" s="44">
        <v>24800000</v>
      </c>
      <c r="F37" s="45" t="s">
        <v>71</v>
      </c>
      <c r="G37" s="46" t="s">
        <v>28</v>
      </c>
      <c r="H37" s="138">
        <v>24800000</v>
      </c>
      <c r="I37" s="138"/>
      <c r="J37" s="138"/>
      <c r="K37" s="153">
        <f>H37+I37-J37</f>
        <v>24800000</v>
      </c>
      <c r="L37" s="153">
        <f>K37</f>
        <v>24800000</v>
      </c>
      <c r="M37" s="139"/>
      <c r="N37" s="139">
        <v>70011.21</v>
      </c>
      <c r="O37" s="154">
        <f>70203.02+20027.22</f>
        <v>90230.24</v>
      </c>
      <c r="P37" s="140">
        <f>70011.21+70203.02</f>
        <v>140214.23</v>
      </c>
      <c r="Q37" s="32">
        <f>N37+O37-P37</f>
        <v>20027.22</v>
      </c>
      <c r="R37" s="32">
        <f>K37+N37+O37-P37</f>
        <v>24820027.22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/>
      <c r="B38" s="42" t="s">
        <v>15</v>
      </c>
      <c r="C38" s="52" t="s">
        <v>76</v>
      </c>
      <c r="D38" s="52" t="s">
        <v>34</v>
      </c>
      <c r="E38" s="44">
        <v>16000000</v>
      </c>
      <c r="F38" s="45" t="s">
        <v>78</v>
      </c>
      <c r="G38" s="46" t="s">
        <v>28</v>
      </c>
      <c r="H38" s="138">
        <v>16000000</v>
      </c>
      <c r="I38" s="138"/>
      <c r="J38" s="138"/>
      <c r="K38" s="153">
        <f>H38+I38-J38</f>
        <v>16000000</v>
      </c>
      <c r="L38" s="153">
        <f>K38</f>
        <v>16000000</v>
      </c>
      <c r="M38" s="139"/>
      <c r="N38" s="139">
        <v>8742.3</v>
      </c>
      <c r="O38" s="154">
        <f>45292.27+27394.52</f>
        <v>72686.79</v>
      </c>
      <c r="P38" s="140">
        <f>8742.3+45292.27</f>
        <v>54034.56999999999</v>
      </c>
      <c r="Q38" s="32">
        <f>N38+O38-P38</f>
        <v>27394.520000000004</v>
      </c>
      <c r="R38" s="32">
        <f>K38+N38+O38-P38</f>
        <v>16027394.52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.75" customHeight="1" thickBot="1">
      <c r="A39" s="95" t="s">
        <v>21</v>
      </c>
      <c r="B39" s="18"/>
      <c r="C39" s="18"/>
      <c r="D39" s="96"/>
      <c r="E39" s="97"/>
      <c r="F39" s="98"/>
      <c r="G39" s="98"/>
      <c r="H39" s="136">
        <f>H23+H24+H25+H26+H27+H28+H29+H30+H31+H32+H33+H34+H35+H36+H37+H38</f>
        <v>107985000</v>
      </c>
      <c r="I39" s="136">
        <f aca="true" t="shared" si="4" ref="I39:S39">I23+I24+I25+I26+I27+I28+I29+I30+I31+I32+I33+I34+I35+I36+I37+I38</f>
        <v>0</v>
      </c>
      <c r="J39" s="136">
        <f t="shared" si="4"/>
        <v>864000</v>
      </c>
      <c r="K39" s="136">
        <f t="shared" si="4"/>
        <v>107121000</v>
      </c>
      <c r="L39" s="136">
        <f t="shared" si="4"/>
        <v>107121000</v>
      </c>
      <c r="M39" s="136">
        <f t="shared" si="4"/>
        <v>0</v>
      </c>
      <c r="N39" s="136">
        <f t="shared" si="4"/>
        <v>216818.72000000003</v>
      </c>
      <c r="O39" s="136">
        <f t="shared" si="4"/>
        <v>375411.19</v>
      </c>
      <c r="P39" s="136">
        <f t="shared" si="4"/>
        <v>470727.89999999997</v>
      </c>
      <c r="Q39" s="136">
        <f t="shared" si="4"/>
        <v>121502.01000000002</v>
      </c>
      <c r="R39" s="136">
        <f t="shared" si="4"/>
        <v>107242502.01</v>
      </c>
      <c r="S39" s="136">
        <f t="shared" si="4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19" ht="16.5" customHeight="1" thickBot="1">
      <c r="A40" s="141" t="s">
        <v>19</v>
      </c>
      <c r="B40" s="142" t="s">
        <v>23</v>
      </c>
      <c r="C40" s="142"/>
      <c r="D40" s="142"/>
      <c r="E40" s="142"/>
      <c r="F40" s="142"/>
      <c r="G40" s="20"/>
      <c r="H40" s="10"/>
      <c r="I40" s="10"/>
      <c r="J40" s="10"/>
      <c r="K40" s="10"/>
      <c r="L40" s="99"/>
      <c r="M40" s="10"/>
      <c r="N40" s="10"/>
      <c r="O40" s="10"/>
      <c r="P40" s="146"/>
      <c r="Q40" s="10"/>
      <c r="R40" s="147"/>
      <c r="S40" s="25"/>
    </row>
    <row r="41" spans="1:19" ht="69" customHeight="1">
      <c r="A41" s="144">
        <v>1</v>
      </c>
      <c r="B41" s="42" t="s">
        <v>23</v>
      </c>
      <c r="C41" s="145" t="s">
        <v>57</v>
      </c>
      <c r="D41" s="132" t="s">
        <v>58</v>
      </c>
      <c r="E41" s="17">
        <v>9000000</v>
      </c>
      <c r="F41" s="132" t="s">
        <v>63</v>
      </c>
      <c r="G41" s="133" t="s">
        <v>28</v>
      </c>
      <c r="H41" s="7">
        <v>9000000</v>
      </c>
      <c r="I41" s="159"/>
      <c r="J41" s="7">
        <v>9000000</v>
      </c>
      <c r="K41" s="6">
        <f>H41+I41-J41</f>
        <v>0</v>
      </c>
      <c r="L41" s="6">
        <f>K41</f>
        <v>0</v>
      </c>
      <c r="M41" s="3"/>
      <c r="N41" s="3">
        <v>0</v>
      </c>
      <c r="O41" s="3">
        <f>133767.12+120821.92-4315.07</f>
        <v>250273.96999999997</v>
      </c>
      <c r="P41" s="17">
        <f>133767.12+120821.92</f>
        <v>254589.03999999998</v>
      </c>
      <c r="Q41" s="6">
        <f>N41+O41-P41</f>
        <v>-4315.070000000007</v>
      </c>
      <c r="R41" s="6">
        <f>K41+N41+O41-P41</f>
        <v>-4315.070000000007</v>
      </c>
      <c r="S41" s="25"/>
    </row>
    <row r="42" spans="1:19" ht="69" customHeight="1">
      <c r="A42" s="152">
        <v>2</v>
      </c>
      <c r="B42" s="42" t="s">
        <v>23</v>
      </c>
      <c r="C42" s="145" t="s">
        <v>61</v>
      </c>
      <c r="D42" s="132" t="s">
        <v>58</v>
      </c>
      <c r="E42" s="17">
        <v>5000000</v>
      </c>
      <c r="F42" s="132" t="s">
        <v>62</v>
      </c>
      <c r="G42" s="133" t="s">
        <v>28</v>
      </c>
      <c r="H42" s="7"/>
      <c r="I42" s="159"/>
      <c r="J42" s="7"/>
      <c r="K42" s="6">
        <f>H42+I42-J42</f>
        <v>0</v>
      </c>
      <c r="L42" s="6">
        <f>K42</f>
        <v>0</v>
      </c>
      <c r="M42" s="3"/>
      <c r="N42" s="3">
        <v>0</v>
      </c>
      <c r="O42" s="17"/>
      <c r="P42" s="17"/>
      <c r="Q42" s="6">
        <f>N42+O42-P42</f>
        <v>0</v>
      </c>
      <c r="R42" s="6">
        <f>K42+N42+O42-P42</f>
        <v>0</v>
      </c>
      <c r="S42" s="25"/>
    </row>
    <row r="43" spans="1:19" ht="69" customHeight="1">
      <c r="A43" s="152">
        <v>3</v>
      </c>
      <c r="B43" s="42" t="s">
        <v>23</v>
      </c>
      <c r="C43" s="145" t="s">
        <v>68</v>
      </c>
      <c r="D43" s="132" t="s">
        <v>58</v>
      </c>
      <c r="E43" s="17"/>
      <c r="F43" s="132" t="s">
        <v>80</v>
      </c>
      <c r="G43" s="133" t="s">
        <v>28</v>
      </c>
      <c r="H43" s="159">
        <v>10000000</v>
      </c>
      <c r="I43" s="159"/>
      <c r="J43" s="159">
        <v>10000000</v>
      </c>
      <c r="K43" s="6">
        <f>H43+I43-J43</f>
        <v>0</v>
      </c>
      <c r="L43" s="6">
        <f>K43</f>
        <v>0</v>
      </c>
      <c r="M43" s="3"/>
      <c r="N43" s="3">
        <v>0</v>
      </c>
      <c r="O43" s="3">
        <f>148630.14+134246.58</f>
        <v>282876.72</v>
      </c>
      <c r="P43" s="17">
        <f>148630.14+134246.58</f>
        <v>282876.72</v>
      </c>
      <c r="Q43" s="6">
        <f>N43+O43-P43</f>
        <v>0</v>
      </c>
      <c r="R43" s="6">
        <f>K43+N43+O43-P43</f>
        <v>0</v>
      </c>
      <c r="S43" s="25"/>
    </row>
    <row r="44" spans="1:19" ht="69" customHeight="1">
      <c r="A44" s="152">
        <v>4</v>
      </c>
      <c r="B44" s="42" t="s">
        <v>23</v>
      </c>
      <c r="C44" s="145" t="s">
        <v>77</v>
      </c>
      <c r="D44" s="132" t="s">
        <v>58</v>
      </c>
      <c r="E44" s="17"/>
      <c r="F44" s="158">
        <v>43439</v>
      </c>
      <c r="G44" s="133"/>
      <c r="H44" s="159">
        <v>8000000</v>
      </c>
      <c r="I44" s="159"/>
      <c r="J44" s="159">
        <v>8000000</v>
      </c>
      <c r="K44" s="6">
        <f>H44+I44-J44</f>
        <v>0</v>
      </c>
      <c r="L44" s="6">
        <f>K44</f>
        <v>0</v>
      </c>
      <c r="M44" s="3"/>
      <c r="N44" s="3"/>
      <c r="O44" s="3">
        <f>105315.07+95123.29</f>
        <v>200438.36</v>
      </c>
      <c r="P44" s="17">
        <f>105315.07+95123.29</f>
        <v>200438.36</v>
      </c>
      <c r="Q44" s="6">
        <f>N44+O44-P44</f>
        <v>0</v>
      </c>
      <c r="R44" s="6">
        <f>K44+N44+O44-P44</f>
        <v>0</v>
      </c>
      <c r="S44" s="25"/>
    </row>
    <row r="45" spans="1:19" ht="16.5" customHeight="1" thickBot="1">
      <c r="A45" s="95" t="s">
        <v>21</v>
      </c>
      <c r="B45" s="143"/>
      <c r="C45" s="143"/>
      <c r="D45" s="14"/>
      <c r="E45" s="14"/>
      <c r="F45" s="14"/>
      <c r="G45" s="14"/>
      <c r="H45" s="4">
        <f>H41+H42+H43+H44</f>
        <v>27000000</v>
      </c>
      <c r="I45" s="4">
        <f aca="true" t="shared" si="5" ref="I45:R45">I41+I42+I43+I44</f>
        <v>0</v>
      </c>
      <c r="J45" s="4">
        <f t="shared" si="5"/>
        <v>27000000</v>
      </c>
      <c r="K45" s="1">
        <f t="shared" si="5"/>
        <v>0</v>
      </c>
      <c r="L45" s="1">
        <f t="shared" si="5"/>
        <v>0</v>
      </c>
      <c r="M45" s="1">
        <f t="shared" si="5"/>
        <v>0</v>
      </c>
      <c r="N45" s="1">
        <f t="shared" si="5"/>
        <v>0</v>
      </c>
      <c r="O45" s="1">
        <f t="shared" si="5"/>
        <v>733589.0499999999</v>
      </c>
      <c r="P45" s="1">
        <f t="shared" si="5"/>
        <v>737904.12</v>
      </c>
      <c r="Q45" s="1">
        <f t="shared" si="5"/>
        <v>-4315.070000000007</v>
      </c>
      <c r="R45" s="1">
        <f t="shared" si="5"/>
        <v>-4315.070000000007</v>
      </c>
      <c r="S45" s="1">
        <f>S41+S42+S43</f>
        <v>0</v>
      </c>
    </row>
    <row r="46" spans="1:35" s="83" customFormat="1" ht="18" customHeight="1" thickBot="1">
      <c r="A46" s="101" t="s">
        <v>5</v>
      </c>
      <c r="B46" s="102" t="s">
        <v>22</v>
      </c>
      <c r="C46" s="102"/>
      <c r="D46" s="148"/>
      <c r="E46" s="148"/>
      <c r="F46" s="148"/>
      <c r="G46" s="148"/>
      <c r="H46" s="148"/>
      <c r="I46" s="143"/>
      <c r="J46" s="143"/>
      <c r="K46" s="143"/>
      <c r="L46" s="143"/>
      <c r="M46" s="143"/>
      <c r="N46" s="143"/>
      <c r="O46" s="143"/>
      <c r="P46" s="151"/>
      <c r="Q46" s="143"/>
      <c r="R46" s="149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s="83" customFormat="1" ht="69.75" customHeight="1" hidden="1">
      <c r="A47" s="101"/>
      <c r="B47" s="103"/>
      <c r="C47" s="104"/>
      <c r="D47" s="104"/>
      <c r="E47" s="105"/>
      <c r="F47" s="104"/>
      <c r="G47" s="46"/>
      <c r="H47" s="62"/>
      <c r="I47" s="62"/>
      <c r="J47" s="33"/>
      <c r="K47" s="62"/>
      <c r="L47" s="32"/>
      <c r="M47" s="21"/>
      <c r="N47" s="21"/>
      <c r="O47" s="21"/>
      <c r="P47" s="150"/>
      <c r="Q47" s="62"/>
      <c r="R47" s="62"/>
      <c r="S47" s="82"/>
      <c r="T47" s="106"/>
      <c r="U47" s="106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s="83" customFormat="1" ht="18" customHeight="1" thickBot="1">
      <c r="A48" s="107" t="s">
        <v>21</v>
      </c>
      <c r="B48" s="108"/>
      <c r="C48" s="109"/>
      <c r="D48" s="109"/>
      <c r="E48" s="110"/>
      <c r="F48" s="111"/>
      <c r="G48" s="104"/>
      <c r="H48" s="34">
        <f>H47</f>
        <v>0</v>
      </c>
      <c r="I48" s="34">
        <f>I47</f>
        <v>0</v>
      </c>
      <c r="J48" s="34">
        <f>J47</f>
        <v>0</v>
      </c>
      <c r="K48" s="34">
        <f>K47</f>
        <v>0</v>
      </c>
      <c r="L48" s="34">
        <f>L47</f>
        <v>0</v>
      </c>
      <c r="M48" s="22">
        <v>3</v>
      </c>
      <c r="N48" s="22">
        <v>0</v>
      </c>
      <c r="O48" s="22">
        <v>0</v>
      </c>
      <c r="P48" s="22">
        <v>0</v>
      </c>
      <c r="Q48" s="34">
        <f>K48</f>
        <v>0</v>
      </c>
      <c r="R48" s="34">
        <f>Q48</f>
        <v>0</v>
      </c>
      <c r="S48" s="82"/>
      <c r="T48" s="11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20" ht="16.5" customHeight="1" thickBot="1">
      <c r="A49" s="113"/>
      <c r="B49" s="20" t="s">
        <v>16</v>
      </c>
      <c r="C49" s="19"/>
      <c r="D49" s="19"/>
      <c r="E49" s="19"/>
      <c r="F49" s="100"/>
      <c r="G49" s="114"/>
      <c r="H49" s="23">
        <f>H39+H47+H45</f>
        <v>134985000</v>
      </c>
      <c r="I49" s="23">
        <f aca="true" t="shared" si="6" ref="I49:R49">I39+I47+I45</f>
        <v>0</v>
      </c>
      <c r="J49" s="23">
        <f t="shared" si="6"/>
        <v>27864000</v>
      </c>
      <c r="K49" s="23">
        <f>K39+K47+K45</f>
        <v>107121000</v>
      </c>
      <c r="L49" s="23">
        <f t="shared" si="6"/>
        <v>107121000</v>
      </c>
      <c r="M49" s="23">
        <f t="shared" si="6"/>
        <v>0</v>
      </c>
      <c r="N49" s="23">
        <f t="shared" si="6"/>
        <v>216818.72000000003</v>
      </c>
      <c r="O49" s="23">
        <f t="shared" si="6"/>
        <v>1109000.24</v>
      </c>
      <c r="P49" s="23">
        <f t="shared" si="6"/>
        <v>1208632.02</v>
      </c>
      <c r="Q49" s="23">
        <f t="shared" si="6"/>
        <v>117186.94000000002</v>
      </c>
      <c r="R49" s="23">
        <f t="shared" si="6"/>
        <v>107238186.94000001</v>
      </c>
      <c r="S49" s="25"/>
      <c r="T49" s="115"/>
    </row>
    <row r="50" spans="1:19" ht="16.5" customHeight="1">
      <c r="A50" s="25"/>
      <c r="B50" s="82"/>
      <c r="C50" s="10"/>
      <c r="D50" s="10"/>
      <c r="E50" s="10"/>
      <c r="F50" s="10"/>
      <c r="G50" s="10"/>
      <c r="H50" s="24"/>
      <c r="I50" s="24"/>
      <c r="J50" s="24"/>
      <c r="K50" s="24"/>
      <c r="L50" s="24"/>
      <c r="M50" s="40"/>
      <c r="N50" s="24"/>
      <c r="O50" s="24"/>
      <c r="P50" s="24"/>
      <c r="Q50" s="24"/>
      <c r="R50" s="24"/>
      <c r="S50" s="25"/>
    </row>
    <row r="51" spans="1:19" ht="16.5" customHeight="1">
      <c r="A51" s="25"/>
      <c r="B51" s="10" t="s">
        <v>36</v>
      </c>
      <c r="C51" s="10"/>
      <c r="D51" s="10"/>
      <c r="E51" s="10"/>
      <c r="F51" s="10"/>
      <c r="G51" s="10"/>
      <c r="H51" s="24" t="s">
        <v>45</v>
      </c>
      <c r="I51" s="24"/>
      <c r="J51" s="24"/>
      <c r="K51" s="24"/>
      <c r="L51" s="24"/>
      <c r="M51" s="40"/>
      <c r="N51" s="24"/>
      <c r="O51" s="24"/>
      <c r="P51" s="40"/>
      <c r="Q51" s="24"/>
      <c r="R51" s="24"/>
      <c r="S51" s="25"/>
    </row>
    <row r="52" spans="1:19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4"/>
      <c r="Q52" s="10"/>
      <c r="R52" s="10"/>
      <c r="S52" s="25"/>
    </row>
    <row r="53" spans="1:19" ht="15.75" customHeight="1">
      <c r="A53" s="25"/>
      <c r="B53" s="10" t="s">
        <v>27</v>
      </c>
      <c r="C53" s="10"/>
      <c r="D53" s="116"/>
      <c r="E53" s="117"/>
      <c r="F53" s="117"/>
      <c r="G53" s="117"/>
      <c r="H53" s="35" t="s">
        <v>67</v>
      </c>
      <c r="I53" s="35"/>
      <c r="J53" s="35"/>
      <c r="K53" s="35"/>
      <c r="L53" s="35"/>
      <c r="M53" s="10"/>
      <c r="N53" s="10"/>
      <c r="O53" s="10"/>
      <c r="P53" s="10"/>
      <c r="Q53" s="10"/>
      <c r="R53" s="10"/>
      <c r="S53" s="25"/>
    </row>
    <row r="54" spans="1:19" ht="15.75" customHeight="1">
      <c r="A54" s="25"/>
      <c r="B54" s="10" t="s">
        <v>26</v>
      </c>
      <c r="C54" s="10"/>
      <c r="D54" s="116"/>
      <c r="E54" s="117"/>
      <c r="F54" s="117"/>
      <c r="G54" s="117"/>
      <c r="H54" s="35"/>
      <c r="I54" s="35"/>
      <c r="J54" s="35"/>
      <c r="K54" s="118"/>
      <c r="L54" s="118"/>
      <c r="M54" s="10"/>
      <c r="N54" s="10"/>
      <c r="O54" s="10"/>
      <c r="P54" s="10"/>
      <c r="Q54" s="10"/>
      <c r="R54" s="10"/>
      <c r="S54" s="25"/>
    </row>
    <row r="55" spans="1:19" ht="12.75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0.75" customHeight="1">
      <c r="A56" s="25"/>
      <c r="B56" s="10"/>
      <c r="C56" s="10"/>
      <c r="D56" s="39"/>
      <c r="E56" s="10"/>
      <c r="F56" s="10"/>
      <c r="G56" s="10"/>
      <c r="H56" s="119"/>
      <c r="I56" s="36"/>
      <c r="J56" s="36"/>
      <c r="K56" s="36"/>
      <c r="L56" s="36"/>
      <c r="M56" s="10"/>
      <c r="N56" s="10"/>
      <c r="O56" s="10"/>
      <c r="P56" s="10"/>
      <c r="Q56" s="10"/>
      <c r="R56" s="10"/>
      <c r="S56" s="25"/>
    </row>
    <row r="57" spans="1:19" ht="14.25" customHeight="1" hidden="1">
      <c r="A57" s="25"/>
      <c r="B57" s="10"/>
      <c r="C57" s="10"/>
      <c r="D57" s="39"/>
      <c r="E57" s="10"/>
      <c r="F57" s="10"/>
      <c r="G57" s="10"/>
      <c r="H57" s="36"/>
      <c r="I57" s="36"/>
      <c r="J57" s="36"/>
      <c r="K57" s="36"/>
      <c r="L57" s="36"/>
      <c r="M57" s="10"/>
      <c r="N57" s="10"/>
      <c r="O57" s="10"/>
      <c r="P57" s="10"/>
      <c r="Q57" s="10"/>
      <c r="R57" s="10"/>
      <c r="S57" s="25"/>
    </row>
    <row r="58" spans="1:19" ht="13.5" customHeight="1" hidden="1">
      <c r="A58" s="25"/>
      <c r="B58" s="10"/>
      <c r="C58" s="10"/>
      <c r="D58" s="10"/>
      <c r="E58" s="10"/>
      <c r="F58" s="10"/>
      <c r="G58" s="10"/>
      <c r="H58" s="37"/>
      <c r="I58" s="37"/>
      <c r="J58" s="37"/>
      <c r="K58" s="37"/>
      <c r="L58" s="37"/>
      <c r="M58" s="10"/>
      <c r="N58" s="10"/>
      <c r="O58" s="10"/>
      <c r="P58" s="10"/>
      <c r="Q58" s="10"/>
      <c r="R58" s="10"/>
      <c r="S58" s="25"/>
    </row>
    <row r="59" spans="2:18" s="25" customFormat="1" ht="12.75" customHeight="1">
      <c r="B59" s="10" t="s">
        <v>14</v>
      </c>
      <c r="C59" s="39"/>
      <c r="D59" s="120"/>
      <c r="E59" s="121"/>
      <c r="F59" s="10"/>
      <c r="G59" s="10"/>
      <c r="H59" s="37"/>
      <c r="I59" s="37"/>
      <c r="J59" s="37"/>
      <c r="K59" s="37"/>
      <c r="L59" s="37"/>
      <c r="M59" s="10"/>
      <c r="N59" s="10"/>
      <c r="O59" s="10"/>
      <c r="P59" s="10"/>
      <c r="Q59" s="10"/>
      <c r="R59" s="10"/>
    </row>
    <row r="60" spans="1:18" s="25" customFormat="1" ht="9.75" customHeight="1">
      <c r="A60" s="122"/>
      <c r="B60" s="123" t="s">
        <v>20</v>
      </c>
      <c r="C60" s="10"/>
      <c r="D60" s="10"/>
      <c r="E60" s="124"/>
      <c r="F60" s="124"/>
      <c r="G60" s="125"/>
      <c r="H60" s="38"/>
      <c r="I60" s="38"/>
      <c r="J60" s="38"/>
      <c r="K60" s="38"/>
      <c r="L60" s="38"/>
      <c r="M60" s="10"/>
      <c r="N60" s="10"/>
      <c r="O60" s="10"/>
      <c r="P60" s="10"/>
      <c r="Q60" s="10"/>
      <c r="R60" s="10"/>
    </row>
    <row r="61" spans="2:18" s="25" customFormat="1" ht="12.75">
      <c r="B61" s="39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126"/>
      <c r="G65" s="126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2"/>
      <c r="B66" s="122"/>
      <c r="C66" s="127"/>
      <c r="D66" s="127"/>
      <c r="E66" s="127"/>
      <c r="F66" s="127"/>
      <c r="G66" s="127"/>
      <c r="H66" s="39"/>
      <c r="I66" s="39"/>
      <c r="J66" s="39"/>
      <c r="K66" s="39"/>
      <c r="L66" s="39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8"/>
      <c r="B70" s="10"/>
      <c r="C70" s="10"/>
      <c r="D70" s="10"/>
      <c r="E70" s="125"/>
      <c r="F70" s="125"/>
      <c r="G70" s="125"/>
      <c r="H70" s="38"/>
      <c r="I70" s="38"/>
      <c r="J70" s="38"/>
      <c r="K70" s="38"/>
      <c r="L70" s="38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29"/>
      <c r="G72" s="129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29"/>
      <c r="G73" s="129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2"/>
      <c r="B74" s="122"/>
      <c r="C74" s="122"/>
      <c r="D74" s="122"/>
      <c r="E74" s="122"/>
      <c r="F74" s="122"/>
      <c r="G74" s="130"/>
      <c r="H74" s="131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17"/>
      <c r="G76" s="117"/>
      <c r="H76" s="35"/>
      <c r="I76" s="35"/>
      <c r="J76" s="35"/>
      <c r="K76" s="118"/>
      <c r="L76" s="118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39"/>
      <c r="E77" s="10"/>
      <c r="F77" s="10"/>
      <c r="G77" s="10"/>
      <c r="H77" s="36"/>
      <c r="I77" s="36"/>
      <c r="J77" s="36"/>
      <c r="K77" s="36"/>
      <c r="L77" s="36"/>
      <c r="M77" s="10"/>
      <c r="N77" s="10"/>
      <c r="O77" s="10"/>
      <c r="Q77" s="10"/>
      <c r="R77" s="10"/>
    </row>
    <row r="78" s="25" customFormat="1" ht="12.75">
      <c r="P78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8"/>
  <sheetViews>
    <sheetView tabSelected="1" zoomScalePageLayoutView="0" workbookViewId="0" topLeftCell="B8">
      <pane xSplit="8205" ySplit="3195" topLeftCell="O44" activePane="bottomRight" state="split"/>
      <selection pane="topLeft" activeCell="L39" sqref="L39"/>
      <selection pane="bottomLeft" activeCell="B25" sqref="B25"/>
      <selection pane="topRight" activeCell="H8" sqref="H8"/>
      <selection pane="bottomRight" activeCell="P45" sqref="P45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84</v>
      </c>
      <c r="J8" s="11" t="s">
        <v>85</v>
      </c>
      <c r="K8" s="11" t="s">
        <v>86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120000+120000+120000</f>
        <v>360000</v>
      </c>
      <c r="K25" s="53">
        <f t="shared" si="0"/>
        <v>479000</v>
      </c>
      <c r="L25" s="47">
        <f t="shared" si="1"/>
        <v>479000</v>
      </c>
      <c r="M25" s="7"/>
      <c r="N25" s="7">
        <v>71.06</v>
      </c>
      <c r="O25" s="5">
        <f>63.04+52.2+45.62</f>
        <v>160.86</v>
      </c>
      <c r="P25" s="7">
        <f>71.06+63.04+52.2</f>
        <v>186.3</v>
      </c>
      <c r="Q25" s="6">
        <f t="shared" si="2"/>
        <v>45.620000000000005</v>
      </c>
      <c r="R25" s="48">
        <f t="shared" si="3"/>
        <v>479045.62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312000+312000+312000</f>
        <v>936000</v>
      </c>
      <c r="K26" s="53">
        <f t="shared" si="0"/>
        <v>1248000</v>
      </c>
      <c r="L26" s="47">
        <f t="shared" si="1"/>
        <v>1248000</v>
      </c>
      <c r="M26" s="7"/>
      <c r="N26" s="7">
        <v>184.98</v>
      </c>
      <c r="O26" s="5">
        <f>164.12+135.92+118.82</f>
        <v>418.85999999999996</v>
      </c>
      <c r="P26" s="7">
        <f>184.98+164.12+135.92</f>
        <v>485.02</v>
      </c>
      <c r="Q26" s="6">
        <f t="shared" si="2"/>
        <v>118.81999999999994</v>
      </c>
      <c r="R26" s="48">
        <f t="shared" si="3"/>
        <v>1248118.82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32"/>
      <c r="J29" s="32"/>
      <c r="K29" s="53">
        <f t="shared" si="0"/>
        <v>7107000</v>
      </c>
      <c r="L29" s="47">
        <f t="shared" si="1"/>
        <v>7107000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7107000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48</v>
      </c>
      <c r="D30" s="52" t="s">
        <v>34</v>
      </c>
      <c r="E30" s="44">
        <v>7000000</v>
      </c>
      <c r="F30" s="45" t="s">
        <v>47</v>
      </c>
      <c r="G30" s="46" t="s">
        <v>28</v>
      </c>
      <c r="H30" s="32">
        <v>5055000</v>
      </c>
      <c r="I30" s="32"/>
      <c r="J30" s="32"/>
      <c r="K30" s="53">
        <f t="shared" si="0"/>
        <v>5055000</v>
      </c>
      <c r="L30" s="47">
        <f t="shared" si="1"/>
        <v>5055000</v>
      </c>
      <c r="M30" s="7"/>
      <c r="N30" s="7">
        <v>6583.31</v>
      </c>
      <c r="O30" s="5">
        <f>6601.35</f>
        <v>6601.35</v>
      </c>
      <c r="P30" s="7">
        <f>6583.31+6601.35</f>
        <v>13184.66</v>
      </c>
      <c r="Q30" s="6">
        <f t="shared" si="2"/>
        <v>0</v>
      </c>
      <c r="R30" s="48">
        <f t="shared" si="3"/>
        <v>5054999.999999999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50</v>
      </c>
      <c r="D31" s="52" t="s">
        <v>34</v>
      </c>
      <c r="E31" s="44">
        <v>6000000</v>
      </c>
      <c r="F31" s="45" t="s">
        <v>51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16938.2</v>
      </c>
      <c r="O31" s="5">
        <f>16984.6</f>
        <v>16984.6</v>
      </c>
      <c r="P31" s="94">
        <f>16938.2+16984.6</f>
        <v>33922.8</v>
      </c>
      <c r="Q31" s="6">
        <f t="shared" si="2"/>
        <v>0</v>
      </c>
      <c r="R31" s="48">
        <f t="shared" si="3"/>
        <v>6000000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52</v>
      </c>
      <c r="D32" s="43" t="s">
        <v>34</v>
      </c>
      <c r="E32" s="2">
        <v>10000000</v>
      </c>
      <c r="F32" s="93" t="s">
        <v>53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28230.33</v>
      </c>
      <c r="O32" s="134">
        <f>28307.67</f>
        <v>28307.67</v>
      </c>
      <c r="P32" s="135">
        <f>28230.33+28307.67</f>
        <v>56538</v>
      </c>
      <c r="Q32" s="6">
        <f t="shared" si="2"/>
        <v>0</v>
      </c>
      <c r="R32" s="48">
        <f t="shared" si="3"/>
        <v>10000000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55</v>
      </c>
      <c r="D33" s="43" t="s">
        <v>34</v>
      </c>
      <c r="E33" s="44">
        <v>10000000</v>
      </c>
      <c r="F33" s="45"/>
      <c r="G33" s="133" t="s">
        <v>28</v>
      </c>
      <c r="H33" s="32">
        <v>10000000</v>
      </c>
      <c r="I33" s="32"/>
      <c r="J33" s="32"/>
      <c r="K33" s="47">
        <f t="shared" si="0"/>
        <v>10000000</v>
      </c>
      <c r="L33" s="47">
        <f t="shared" si="1"/>
        <v>10000000</v>
      </c>
      <c r="M33" s="4"/>
      <c r="N33" s="4">
        <v>28230.33</v>
      </c>
      <c r="O33" s="5">
        <f>28307.67+25568.22+28193.97</f>
        <v>82069.86</v>
      </c>
      <c r="P33" s="94">
        <f>28230.33+28307.67+25568.22</f>
        <v>82106.22</v>
      </c>
      <c r="Q33" s="6">
        <f t="shared" si="2"/>
        <v>28193.97</v>
      </c>
      <c r="R33" s="48">
        <f t="shared" si="3"/>
        <v>10028193.969999999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56</v>
      </c>
      <c r="D34" s="43" t="s">
        <v>34</v>
      </c>
      <c r="E34" s="44">
        <v>15000000</v>
      </c>
      <c r="F34" s="45"/>
      <c r="G34" s="46" t="s">
        <v>28</v>
      </c>
      <c r="H34" s="32">
        <v>0</v>
      </c>
      <c r="I34" s="32"/>
      <c r="J34" s="32"/>
      <c r="K34" s="53">
        <f t="shared" si="0"/>
        <v>0</v>
      </c>
      <c r="L34" s="53">
        <f t="shared" si="1"/>
        <v>0</v>
      </c>
      <c r="M34" s="4"/>
      <c r="N34" s="4"/>
      <c r="O34" s="5">
        <v>0</v>
      </c>
      <c r="P34" s="94"/>
      <c r="Q34" s="6"/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59</v>
      </c>
      <c r="D35" s="52" t="s">
        <v>34</v>
      </c>
      <c r="E35" s="44">
        <v>65000</v>
      </c>
      <c r="F35" s="45" t="s">
        <v>60</v>
      </c>
      <c r="G35" s="46" t="s">
        <v>28</v>
      </c>
      <c r="H35" s="138">
        <v>6500000</v>
      </c>
      <c r="I35" s="138"/>
      <c r="J35" s="138"/>
      <c r="K35" s="53">
        <f t="shared" si="0"/>
        <v>6500000</v>
      </c>
      <c r="L35" s="53">
        <f t="shared" si="1"/>
        <v>6500000</v>
      </c>
      <c r="M35" s="139"/>
      <c r="N35" s="139">
        <v>18349.71</v>
      </c>
      <c r="O35" s="5">
        <f>18399.99+16619.34+18326.09</f>
        <v>53345.42</v>
      </c>
      <c r="P35" s="140">
        <f>18349.71+18399.99+16619.34</f>
        <v>53369.03999999999</v>
      </c>
      <c r="Q35" s="32">
        <f t="shared" si="2"/>
        <v>18326.09000000001</v>
      </c>
      <c r="R35" s="32">
        <f t="shared" si="3"/>
        <v>6518326.09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64</v>
      </c>
      <c r="D36" s="52" t="s">
        <v>34</v>
      </c>
      <c r="E36" s="44">
        <v>12400000</v>
      </c>
      <c r="F36" s="45" t="s">
        <v>60</v>
      </c>
      <c r="G36" s="46" t="s">
        <v>28</v>
      </c>
      <c r="H36" s="138">
        <v>12400000</v>
      </c>
      <c r="I36" s="138"/>
      <c r="J36" s="138"/>
      <c r="K36" s="153">
        <f t="shared" si="0"/>
        <v>12400000</v>
      </c>
      <c r="L36" s="153">
        <f t="shared" si="1"/>
        <v>12400000</v>
      </c>
      <c r="M36" s="139"/>
      <c r="N36" s="139">
        <v>35005.61</v>
      </c>
      <c r="O36" s="154">
        <f>35101.51+31704.59+35073.32</f>
        <v>101879.42000000001</v>
      </c>
      <c r="P36" s="140">
        <f>35005.61+35101.51+31704.59</f>
        <v>101811.70999999999</v>
      </c>
      <c r="Q36" s="32">
        <f t="shared" si="2"/>
        <v>35073.320000000036</v>
      </c>
      <c r="R36" s="32">
        <f t="shared" si="3"/>
        <v>12435073.319999998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70</v>
      </c>
      <c r="D37" s="52" t="s">
        <v>34</v>
      </c>
      <c r="E37" s="44">
        <v>24800000</v>
      </c>
      <c r="F37" s="45" t="s">
        <v>71</v>
      </c>
      <c r="G37" s="46" t="s">
        <v>28</v>
      </c>
      <c r="H37" s="138">
        <v>24800000</v>
      </c>
      <c r="I37" s="138"/>
      <c r="J37" s="138"/>
      <c r="K37" s="153">
        <f>H37+I37-J37</f>
        <v>24800000</v>
      </c>
      <c r="L37" s="153">
        <f>K37</f>
        <v>24800000</v>
      </c>
      <c r="M37" s="139"/>
      <c r="N37" s="139">
        <v>70011.21</v>
      </c>
      <c r="O37" s="154">
        <f>70203.02+20027.22+33719.99</f>
        <v>123950.23000000001</v>
      </c>
      <c r="P37" s="140">
        <f>70011.21+70203.02+20027.22</f>
        <v>160241.45</v>
      </c>
      <c r="Q37" s="32">
        <f>N37+O37-P37</f>
        <v>33719.98999999999</v>
      </c>
      <c r="R37" s="32">
        <f>K37+N37+O37-P37</f>
        <v>24833719.990000002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/>
      <c r="B38" s="42" t="s">
        <v>15</v>
      </c>
      <c r="C38" s="52" t="s">
        <v>76</v>
      </c>
      <c r="D38" s="52" t="s">
        <v>34</v>
      </c>
      <c r="E38" s="44">
        <v>16000000</v>
      </c>
      <c r="F38" s="45" t="s">
        <v>78</v>
      </c>
      <c r="G38" s="46" t="s">
        <v>28</v>
      </c>
      <c r="H38" s="138">
        <v>16000000</v>
      </c>
      <c r="I38" s="138"/>
      <c r="J38" s="138"/>
      <c r="K38" s="153">
        <f>H38+I38-J38</f>
        <v>16000000</v>
      </c>
      <c r="L38" s="153">
        <f>K38</f>
        <v>16000000</v>
      </c>
      <c r="M38" s="139"/>
      <c r="N38" s="139">
        <v>8742.3</v>
      </c>
      <c r="O38" s="154">
        <f>45292.27+27394.52+33832.77</f>
        <v>106519.56</v>
      </c>
      <c r="P38" s="140">
        <f>8742.3+45292.27+27394.52</f>
        <v>81429.09</v>
      </c>
      <c r="Q38" s="32">
        <f>N38+O38-P38</f>
        <v>33832.770000000004</v>
      </c>
      <c r="R38" s="32">
        <f>K38+N38+O38-P38</f>
        <v>16033832.770000001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.75" customHeight="1" thickBot="1">
      <c r="A39" s="95" t="s">
        <v>21</v>
      </c>
      <c r="B39" s="18"/>
      <c r="C39" s="18"/>
      <c r="D39" s="96"/>
      <c r="E39" s="97"/>
      <c r="F39" s="98"/>
      <c r="G39" s="98"/>
      <c r="H39" s="136">
        <f>H23+H24+H25+H26+H27+H28+H29+H30+H31+H32+H33+H34+H35+H36+H37+H38</f>
        <v>107985000</v>
      </c>
      <c r="I39" s="136">
        <f aca="true" t="shared" si="4" ref="I39:S39">I23+I24+I25+I26+I27+I28+I29+I30+I31+I32+I33+I34+I35+I36+I37+I38</f>
        <v>0</v>
      </c>
      <c r="J39" s="136">
        <f t="shared" si="4"/>
        <v>1296000</v>
      </c>
      <c r="K39" s="136">
        <f t="shared" si="4"/>
        <v>106689000</v>
      </c>
      <c r="L39" s="136">
        <f t="shared" si="4"/>
        <v>106689000</v>
      </c>
      <c r="M39" s="136">
        <f t="shared" si="4"/>
        <v>0</v>
      </c>
      <c r="N39" s="136">
        <f t="shared" si="4"/>
        <v>216818.72000000003</v>
      </c>
      <c r="O39" s="136">
        <f t="shared" si="4"/>
        <v>524721.77</v>
      </c>
      <c r="P39" s="136">
        <f t="shared" si="4"/>
        <v>592229.91</v>
      </c>
      <c r="Q39" s="136">
        <f t="shared" si="4"/>
        <v>149310.58000000005</v>
      </c>
      <c r="R39" s="136">
        <f t="shared" si="4"/>
        <v>106838310.58</v>
      </c>
      <c r="S39" s="136">
        <f t="shared" si="4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19" ht="16.5" customHeight="1" thickBot="1">
      <c r="A40" s="141" t="s">
        <v>19</v>
      </c>
      <c r="B40" s="142" t="s">
        <v>23</v>
      </c>
      <c r="C40" s="142"/>
      <c r="D40" s="142"/>
      <c r="E40" s="142"/>
      <c r="F40" s="142"/>
      <c r="G40" s="20"/>
      <c r="H40" s="10"/>
      <c r="I40" s="10"/>
      <c r="J40" s="10"/>
      <c r="K40" s="10"/>
      <c r="L40" s="99"/>
      <c r="M40" s="10"/>
      <c r="N40" s="10"/>
      <c r="O40" s="10"/>
      <c r="P40" s="146"/>
      <c r="Q40" s="10"/>
      <c r="R40" s="147"/>
      <c r="S40" s="25"/>
    </row>
    <row r="41" spans="1:19" ht="69" customHeight="1">
      <c r="A41" s="144">
        <v>1</v>
      </c>
      <c r="B41" s="42" t="s">
        <v>23</v>
      </c>
      <c r="C41" s="145" t="s">
        <v>57</v>
      </c>
      <c r="D41" s="132" t="s">
        <v>58</v>
      </c>
      <c r="E41" s="17">
        <v>9000000</v>
      </c>
      <c r="F41" s="132" t="s">
        <v>63</v>
      </c>
      <c r="G41" s="133" t="s">
        <v>28</v>
      </c>
      <c r="H41" s="7">
        <v>9000000</v>
      </c>
      <c r="I41" s="159"/>
      <c r="J41" s="7">
        <v>9000000</v>
      </c>
      <c r="K41" s="6">
        <f>H41+I41-J41</f>
        <v>0</v>
      </c>
      <c r="L41" s="6">
        <f>K41</f>
        <v>0</v>
      </c>
      <c r="M41" s="3"/>
      <c r="N41" s="3">
        <v>0</v>
      </c>
      <c r="O41" s="3">
        <f>133767.12+120821.92-4315.07</f>
        <v>250273.96999999997</v>
      </c>
      <c r="P41" s="17">
        <f>133767.12+120821.92-4315.07</f>
        <v>250273.96999999997</v>
      </c>
      <c r="Q41" s="6">
        <f>N41+O41-P41</f>
        <v>0</v>
      </c>
      <c r="R41" s="6">
        <f>K41+N41+O41-P41</f>
        <v>0</v>
      </c>
      <c r="S41" s="25"/>
    </row>
    <row r="42" spans="1:19" ht="69" customHeight="1">
      <c r="A42" s="152">
        <v>2</v>
      </c>
      <c r="B42" s="42" t="s">
        <v>23</v>
      </c>
      <c r="C42" s="145" t="s">
        <v>61</v>
      </c>
      <c r="D42" s="132" t="s">
        <v>58</v>
      </c>
      <c r="E42" s="17">
        <v>5000000</v>
      </c>
      <c r="F42" s="132" t="s">
        <v>62</v>
      </c>
      <c r="G42" s="133" t="s">
        <v>28</v>
      </c>
      <c r="H42" s="7"/>
      <c r="I42" s="159"/>
      <c r="J42" s="7"/>
      <c r="K42" s="6">
        <f>H42+I42-J42</f>
        <v>0</v>
      </c>
      <c r="L42" s="6">
        <f>K42</f>
        <v>0</v>
      </c>
      <c r="M42" s="3"/>
      <c r="N42" s="3">
        <v>0</v>
      </c>
      <c r="O42" s="17"/>
      <c r="P42" s="17"/>
      <c r="Q42" s="6">
        <f>N42+O42-P42</f>
        <v>0</v>
      </c>
      <c r="R42" s="6">
        <f>K42+N42+O42-P42</f>
        <v>0</v>
      </c>
      <c r="S42" s="25"/>
    </row>
    <row r="43" spans="1:19" ht="69" customHeight="1">
      <c r="A43" s="152">
        <v>3</v>
      </c>
      <c r="B43" s="42" t="s">
        <v>23</v>
      </c>
      <c r="C43" s="145" t="s">
        <v>68</v>
      </c>
      <c r="D43" s="132" t="s">
        <v>58</v>
      </c>
      <c r="E43" s="17"/>
      <c r="F43" s="132" t="s">
        <v>80</v>
      </c>
      <c r="G43" s="133" t="s">
        <v>28</v>
      </c>
      <c r="H43" s="159">
        <v>10000000</v>
      </c>
      <c r="I43" s="159"/>
      <c r="J43" s="159">
        <v>10000000</v>
      </c>
      <c r="K43" s="6">
        <f>H43+I43-J43</f>
        <v>0</v>
      </c>
      <c r="L43" s="6">
        <f>K43</f>
        <v>0</v>
      </c>
      <c r="M43" s="3"/>
      <c r="N43" s="3">
        <v>0</v>
      </c>
      <c r="O43" s="3">
        <f>148630.14+134246.58</f>
        <v>282876.72</v>
      </c>
      <c r="P43" s="17">
        <f>148630.14+134246.58</f>
        <v>282876.72</v>
      </c>
      <c r="Q43" s="6">
        <f>N43+O43-P43</f>
        <v>0</v>
      </c>
      <c r="R43" s="6">
        <f>K43+N43+O43-P43</f>
        <v>0</v>
      </c>
      <c r="S43" s="25"/>
    </row>
    <row r="44" spans="1:19" ht="69" customHeight="1">
      <c r="A44" s="152">
        <v>4</v>
      </c>
      <c r="B44" s="42" t="s">
        <v>23</v>
      </c>
      <c r="C44" s="145" t="s">
        <v>77</v>
      </c>
      <c r="D44" s="132" t="s">
        <v>58</v>
      </c>
      <c r="E44" s="17"/>
      <c r="F44" s="158">
        <v>43439</v>
      </c>
      <c r="G44" s="133"/>
      <c r="H44" s="159">
        <v>8000000</v>
      </c>
      <c r="I44" s="159"/>
      <c r="J44" s="159">
        <v>8000000</v>
      </c>
      <c r="K44" s="6">
        <f>H44+I44-J44</f>
        <v>0</v>
      </c>
      <c r="L44" s="6">
        <f>K44</f>
        <v>0</v>
      </c>
      <c r="M44" s="3"/>
      <c r="N44" s="3"/>
      <c r="O44" s="3">
        <f>105315.07+95123.29</f>
        <v>200438.36</v>
      </c>
      <c r="P44" s="17">
        <f>105315.07+95123.29</f>
        <v>200438.36</v>
      </c>
      <c r="Q44" s="6">
        <f>N44+O44-P44</f>
        <v>0</v>
      </c>
      <c r="R44" s="6">
        <f>K44+N44+O44-P44</f>
        <v>0</v>
      </c>
      <c r="S44" s="25"/>
    </row>
    <row r="45" spans="1:19" ht="16.5" customHeight="1" thickBot="1">
      <c r="A45" s="95" t="s">
        <v>21</v>
      </c>
      <c r="B45" s="143"/>
      <c r="C45" s="143"/>
      <c r="D45" s="14"/>
      <c r="E45" s="14"/>
      <c r="F45" s="14"/>
      <c r="G45" s="14"/>
      <c r="H45" s="4">
        <f>H41+H42+H43+H44</f>
        <v>27000000</v>
      </c>
      <c r="I45" s="4">
        <f aca="true" t="shared" si="5" ref="I45:R45">I41+I42+I43+I44</f>
        <v>0</v>
      </c>
      <c r="J45" s="4">
        <f t="shared" si="5"/>
        <v>27000000</v>
      </c>
      <c r="K45" s="1">
        <f t="shared" si="5"/>
        <v>0</v>
      </c>
      <c r="L45" s="1">
        <f t="shared" si="5"/>
        <v>0</v>
      </c>
      <c r="M45" s="1">
        <f t="shared" si="5"/>
        <v>0</v>
      </c>
      <c r="N45" s="1">
        <f t="shared" si="5"/>
        <v>0</v>
      </c>
      <c r="O45" s="1">
        <f t="shared" si="5"/>
        <v>733589.0499999999</v>
      </c>
      <c r="P45" s="1">
        <f t="shared" si="5"/>
        <v>733589.0499999999</v>
      </c>
      <c r="Q45" s="1">
        <f t="shared" si="5"/>
        <v>0</v>
      </c>
      <c r="R45" s="1">
        <f t="shared" si="5"/>
        <v>0</v>
      </c>
      <c r="S45" s="1">
        <f>S41+S42+S43</f>
        <v>0</v>
      </c>
    </row>
    <row r="46" spans="1:35" s="83" customFormat="1" ht="18" customHeight="1" thickBot="1">
      <c r="A46" s="101" t="s">
        <v>5</v>
      </c>
      <c r="B46" s="102" t="s">
        <v>22</v>
      </c>
      <c r="C46" s="102"/>
      <c r="D46" s="148"/>
      <c r="E46" s="148"/>
      <c r="F46" s="148"/>
      <c r="G46" s="148"/>
      <c r="H46" s="148"/>
      <c r="I46" s="143"/>
      <c r="J46" s="143"/>
      <c r="K46" s="143"/>
      <c r="L46" s="143"/>
      <c r="M46" s="143"/>
      <c r="N46" s="143"/>
      <c r="O46" s="143"/>
      <c r="P46" s="151"/>
      <c r="Q46" s="143"/>
      <c r="R46" s="149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s="83" customFormat="1" ht="69.75" customHeight="1" hidden="1">
      <c r="A47" s="101"/>
      <c r="B47" s="103"/>
      <c r="C47" s="104"/>
      <c r="D47" s="104"/>
      <c r="E47" s="105"/>
      <c r="F47" s="104"/>
      <c r="G47" s="46"/>
      <c r="H47" s="62"/>
      <c r="I47" s="62"/>
      <c r="J47" s="33"/>
      <c r="K47" s="62"/>
      <c r="L47" s="32"/>
      <c r="M47" s="21"/>
      <c r="N47" s="21"/>
      <c r="O47" s="21"/>
      <c r="P47" s="150"/>
      <c r="Q47" s="62"/>
      <c r="R47" s="62"/>
      <c r="S47" s="82"/>
      <c r="T47" s="106"/>
      <c r="U47" s="106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s="83" customFormat="1" ht="18" customHeight="1" thickBot="1">
      <c r="A48" s="107" t="s">
        <v>21</v>
      </c>
      <c r="B48" s="108"/>
      <c r="C48" s="109"/>
      <c r="D48" s="109"/>
      <c r="E48" s="110"/>
      <c r="F48" s="111"/>
      <c r="G48" s="104"/>
      <c r="H48" s="34">
        <f>H47</f>
        <v>0</v>
      </c>
      <c r="I48" s="34">
        <f>I47</f>
        <v>0</v>
      </c>
      <c r="J48" s="34">
        <f>J47</f>
        <v>0</v>
      </c>
      <c r="K48" s="34">
        <f>K47</f>
        <v>0</v>
      </c>
      <c r="L48" s="34">
        <f>L47</f>
        <v>0</v>
      </c>
      <c r="M48" s="22">
        <v>3</v>
      </c>
      <c r="N48" s="22">
        <v>0</v>
      </c>
      <c r="O48" s="22">
        <v>0</v>
      </c>
      <c r="P48" s="22">
        <v>0</v>
      </c>
      <c r="Q48" s="34">
        <f>K48</f>
        <v>0</v>
      </c>
      <c r="R48" s="34">
        <f>Q48</f>
        <v>0</v>
      </c>
      <c r="S48" s="82"/>
      <c r="T48" s="11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20" ht="16.5" customHeight="1" thickBot="1">
      <c r="A49" s="113"/>
      <c r="B49" s="20" t="s">
        <v>16</v>
      </c>
      <c r="C49" s="19"/>
      <c r="D49" s="19"/>
      <c r="E49" s="19"/>
      <c r="F49" s="100"/>
      <c r="G49" s="114"/>
      <c r="H49" s="23">
        <f>H39+H47+H45</f>
        <v>134985000</v>
      </c>
      <c r="I49" s="23">
        <f aca="true" t="shared" si="6" ref="I49:R49">I39+I47+I45</f>
        <v>0</v>
      </c>
      <c r="J49" s="23">
        <f t="shared" si="6"/>
        <v>28296000</v>
      </c>
      <c r="K49" s="23">
        <f>K39+K47+K45</f>
        <v>106689000</v>
      </c>
      <c r="L49" s="23">
        <f t="shared" si="6"/>
        <v>106689000</v>
      </c>
      <c r="M49" s="23">
        <f t="shared" si="6"/>
        <v>0</v>
      </c>
      <c r="N49" s="23">
        <f t="shared" si="6"/>
        <v>216818.72000000003</v>
      </c>
      <c r="O49" s="23">
        <f t="shared" si="6"/>
        <v>1258310.8199999998</v>
      </c>
      <c r="P49" s="23">
        <f t="shared" si="6"/>
        <v>1325818.96</v>
      </c>
      <c r="Q49" s="23">
        <f t="shared" si="6"/>
        <v>149310.58000000005</v>
      </c>
      <c r="R49" s="23">
        <f t="shared" si="6"/>
        <v>106838310.58</v>
      </c>
      <c r="S49" s="25"/>
      <c r="T49" s="115"/>
    </row>
    <row r="50" spans="1:19" ht="16.5" customHeight="1">
      <c r="A50" s="25"/>
      <c r="B50" s="82"/>
      <c r="C50" s="10"/>
      <c r="D50" s="10"/>
      <c r="E50" s="10"/>
      <c r="F50" s="10"/>
      <c r="G50" s="10"/>
      <c r="H50" s="24"/>
      <c r="I50" s="24"/>
      <c r="J50" s="24"/>
      <c r="K50" s="24"/>
      <c r="L50" s="24"/>
      <c r="M50" s="40"/>
      <c r="N50" s="24"/>
      <c r="O50" s="24"/>
      <c r="P50" s="24"/>
      <c r="Q50" s="24"/>
      <c r="R50" s="24"/>
      <c r="S50" s="25"/>
    </row>
    <row r="51" spans="1:19" ht="16.5" customHeight="1">
      <c r="A51" s="25"/>
      <c r="B51" s="10" t="s">
        <v>36</v>
      </c>
      <c r="C51" s="10"/>
      <c r="D51" s="10"/>
      <c r="E51" s="10"/>
      <c r="F51" s="10"/>
      <c r="G51" s="10"/>
      <c r="H51" s="24" t="s">
        <v>45</v>
      </c>
      <c r="I51" s="24"/>
      <c r="J51" s="24"/>
      <c r="K51" s="24"/>
      <c r="L51" s="24"/>
      <c r="M51" s="40"/>
      <c r="N51" s="24"/>
      <c r="O51" s="24"/>
      <c r="P51" s="40"/>
      <c r="Q51" s="24"/>
      <c r="R51" s="24"/>
      <c r="S51" s="25"/>
    </row>
    <row r="52" spans="1:19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4"/>
      <c r="Q52" s="10"/>
      <c r="R52" s="10"/>
      <c r="S52" s="25"/>
    </row>
    <row r="53" spans="1:19" ht="15.75" customHeight="1">
      <c r="A53" s="25"/>
      <c r="B53" s="10" t="s">
        <v>27</v>
      </c>
      <c r="C53" s="10"/>
      <c r="D53" s="116"/>
      <c r="E53" s="117"/>
      <c r="F53" s="117"/>
      <c r="G53" s="117"/>
      <c r="H53" s="35" t="s">
        <v>67</v>
      </c>
      <c r="I53" s="35"/>
      <c r="J53" s="35"/>
      <c r="K53" s="35"/>
      <c r="L53" s="35"/>
      <c r="M53" s="10"/>
      <c r="N53" s="10"/>
      <c r="O53" s="10"/>
      <c r="P53" s="10"/>
      <c r="Q53" s="10"/>
      <c r="R53" s="10"/>
      <c r="S53" s="25"/>
    </row>
    <row r="54" spans="1:19" ht="15.75" customHeight="1">
      <c r="A54" s="25"/>
      <c r="B54" s="10" t="s">
        <v>26</v>
      </c>
      <c r="C54" s="10"/>
      <c r="D54" s="116"/>
      <c r="E54" s="117"/>
      <c r="F54" s="117"/>
      <c r="G54" s="117"/>
      <c r="H54" s="35"/>
      <c r="I54" s="35"/>
      <c r="J54" s="35"/>
      <c r="K54" s="118"/>
      <c r="L54" s="118"/>
      <c r="M54" s="10"/>
      <c r="N54" s="10"/>
      <c r="O54" s="10"/>
      <c r="P54" s="10"/>
      <c r="Q54" s="10"/>
      <c r="R54" s="10"/>
      <c r="S54" s="25"/>
    </row>
    <row r="55" spans="1:19" ht="12.75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0.75" customHeight="1">
      <c r="A56" s="25"/>
      <c r="B56" s="10"/>
      <c r="C56" s="10"/>
      <c r="D56" s="39"/>
      <c r="E56" s="10"/>
      <c r="F56" s="10"/>
      <c r="G56" s="10"/>
      <c r="H56" s="119"/>
      <c r="I56" s="36"/>
      <c r="J56" s="36"/>
      <c r="K56" s="36"/>
      <c r="L56" s="36"/>
      <c r="M56" s="10"/>
      <c r="N56" s="10"/>
      <c r="O56" s="10"/>
      <c r="P56" s="10"/>
      <c r="Q56" s="10"/>
      <c r="R56" s="10"/>
      <c r="S56" s="25"/>
    </row>
    <row r="57" spans="1:19" ht="14.25" customHeight="1" hidden="1">
      <c r="A57" s="25"/>
      <c r="B57" s="10"/>
      <c r="C57" s="10"/>
      <c r="D57" s="39"/>
      <c r="E57" s="10"/>
      <c r="F57" s="10"/>
      <c r="G57" s="10"/>
      <c r="H57" s="36"/>
      <c r="I57" s="36"/>
      <c r="J57" s="36"/>
      <c r="K57" s="36"/>
      <c r="L57" s="36"/>
      <c r="M57" s="10"/>
      <c r="N57" s="10"/>
      <c r="O57" s="10"/>
      <c r="P57" s="10"/>
      <c r="Q57" s="10"/>
      <c r="R57" s="10"/>
      <c r="S57" s="25"/>
    </row>
    <row r="58" spans="1:19" ht="13.5" customHeight="1" hidden="1">
      <c r="A58" s="25"/>
      <c r="B58" s="10"/>
      <c r="C58" s="10"/>
      <c r="D58" s="10"/>
      <c r="E58" s="10"/>
      <c r="F58" s="10"/>
      <c r="G58" s="10"/>
      <c r="H58" s="37"/>
      <c r="I58" s="37"/>
      <c r="J58" s="37"/>
      <c r="K58" s="37"/>
      <c r="L58" s="37"/>
      <c r="M58" s="10"/>
      <c r="N58" s="10"/>
      <c r="O58" s="10"/>
      <c r="P58" s="10"/>
      <c r="Q58" s="10"/>
      <c r="R58" s="10"/>
      <c r="S58" s="25"/>
    </row>
    <row r="59" spans="2:18" s="25" customFormat="1" ht="12.75" customHeight="1">
      <c r="B59" s="10" t="s">
        <v>14</v>
      </c>
      <c r="C59" s="39"/>
      <c r="D59" s="120"/>
      <c r="E59" s="121"/>
      <c r="F59" s="10"/>
      <c r="G59" s="10"/>
      <c r="H59" s="37"/>
      <c r="I59" s="37"/>
      <c r="J59" s="37"/>
      <c r="K59" s="37"/>
      <c r="L59" s="37"/>
      <c r="M59" s="10"/>
      <c r="N59" s="10"/>
      <c r="O59" s="10"/>
      <c r="P59" s="10"/>
      <c r="Q59" s="10"/>
      <c r="R59" s="10"/>
    </row>
    <row r="60" spans="1:18" s="25" customFormat="1" ht="9.75" customHeight="1">
      <c r="A60" s="122"/>
      <c r="B60" s="123" t="s">
        <v>20</v>
      </c>
      <c r="C60" s="10"/>
      <c r="D60" s="10"/>
      <c r="E60" s="124"/>
      <c r="F60" s="124"/>
      <c r="G60" s="125"/>
      <c r="H60" s="38"/>
      <c r="I60" s="38"/>
      <c r="J60" s="38"/>
      <c r="K60" s="38"/>
      <c r="L60" s="38"/>
      <c r="M60" s="10"/>
      <c r="N60" s="10"/>
      <c r="O60" s="10"/>
      <c r="P60" s="10"/>
      <c r="Q60" s="10"/>
      <c r="R60" s="10"/>
    </row>
    <row r="61" spans="2:18" s="25" customFormat="1" ht="12.75">
      <c r="B61" s="39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126"/>
      <c r="G65" s="126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2"/>
      <c r="B66" s="122"/>
      <c r="C66" s="127"/>
      <c r="D66" s="127"/>
      <c r="E66" s="127"/>
      <c r="F66" s="127"/>
      <c r="G66" s="127"/>
      <c r="H66" s="39"/>
      <c r="I66" s="39"/>
      <c r="J66" s="39"/>
      <c r="K66" s="39"/>
      <c r="L66" s="39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8"/>
      <c r="B70" s="10"/>
      <c r="C70" s="10"/>
      <c r="D70" s="10"/>
      <c r="E70" s="125"/>
      <c r="F70" s="125"/>
      <c r="G70" s="125"/>
      <c r="H70" s="38"/>
      <c r="I70" s="38"/>
      <c r="J70" s="38"/>
      <c r="K70" s="38"/>
      <c r="L70" s="38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29"/>
      <c r="G72" s="129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29"/>
      <c r="G73" s="129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2"/>
      <c r="B74" s="122"/>
      <c r="C74" s="122"/>
      <c r="D74" s="122"/>
      <c r="E74" s="122"/>
      <c r="F74" s="122"/>
      <c r="G74" s="130"/>
      <c r="H74" s="131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17"/>
      <c r="G76" s="117"/>
      <c r="H76" s="35"/>
      <c r="I76" s="35"/>
      <c r="J76" s="35"/>
      <c r="K76" s="118"/>
      <c r="L76" s="118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39"/>
      <c r="E77" s="10"/>
      <c r="F77" s="10"/>
      <c r="G77" s="10"/>
      <c r="H77" s="36"/>
      <c r="I77" s="36"/>
      <c r="J77" s="36"/>
      <c r="K77" s="36"/>
      <c r="L77" s="36"/>
      <c r="M77" s="10"/>
      <c r="N77" s="10"/>
      <c r="O77" s="10"/>
      <c r="Q77" s="10"/>
      <c r="R77" s="10"/>
    </row>
    <row r="78" s="25" customFormat="1" ht="12.75">
      <c r="P78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2017-03-06T07:51:50Z</cp:lastPrinted>
  <dcterms:created xsi:type="dcterms:W3CDTF">2000-01-05T08:20:30Z</dcterms:created>
  <dcterms:modified xsi:type="dcterms:W3CDTF">2017-04-05T11:51:05Z</dcterms:modified>
  <cp:category/>
  <cp:version/>
  <cp:contentType/>
  <cp:contentStatus/>
</cp:coreProperties>
</file>