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9720" windowHeight="4980" tabRatio="902" firstSheet="7" activeTab="10"/>
  </bookViews>
  <sheets>
    <sheet name="01,01,17" sheetId="1" r:id="rId1"/>
    <sheet name="01,02,17" sheetId="2" r:id="rId2"/>
    <sheet name="01,03,17" sheetId="3" r:id="rId3"/>
    <sheet name="01,04,17" sheetId="4" r:id="rId4"/>
    <sheet name="01,05,17 " sheetId="5" r:id="rId5"/>
    <sheet name="01,06,17 " sheetId="6" r:id="rId6"/>
    <sheet name="01,07,17 " sheetId="7" r:id="rId7"/>
    <sheet name="01,08,17 " sheetId="8" r:id="rId8"/>
    <sheet name="01,09,17  " sheetId="9" r:id="rId9"/>
    <sheet name="01,10,17   " sheetId="10" r:id="rId10"/>
    <sheet name="01,11,17    (2)" sheetId="11" r:id="rId11"/>
  </sheets>
  <definedNames>
    <definedName name="С55" localSheetId="0">#REF!</definedName>
    <definedName name="С55" localSheetId="2">#REF!</definedName>
    <definedName name="С55" localSheetId="3">#REF!</definedName>
    <definedName name="С55" localSheetId="4">#REF!</definedName>
    <definedName name="С55" localSheetId="5">#REF!</definedName>
    <definedName name="С55" localSheetId="6">#REF!</definedName>
    <definedName name="С55" localSheetId="7">#REF!</definedName>
    <definedName name="С55" localSheetId="8">#REF!</definedName>
    <definedName name="С55" localSheetId="9">#REF!</definedName>
    <definedName name="С55" localSheetId="1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<sst xmlns="http://schemas.openxmlformats.org/spreadsheetml/2006/main" count="1649" uniqueCount="129">
  <si>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</si>
  <si>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</si>
  <si>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</si>
  <si>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</si>
  <si>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</si>
  <si>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</si>
  <si>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</si>
  <si>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</si>
  <si>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</si>
  <si>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</si>
  <si>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</si>
  <si>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</si>
  <si>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</si>
  <si>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</si>
  <si>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</si>
  <si>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</si>
  <si>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</si>
  <si>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</si>
  <si>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</si>
  <si>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</si>
  <si>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</si>
  <si>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</si>
  <si>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</si>
  <si>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</si>
  <si>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</si>
  <si>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</si>
  <si>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</si>
  <si>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</si>
  <si>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</si>
  <si>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</si>
  <si>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</si>
  <si>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</si>
  <si>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</si>
  <si>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</si>
  <si>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</si>
  <si>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20.12.2014г.</t>
  </si>
  <si>
    <t>Глава Олонецкого национального муниципального района</t>
  </si>
  <si>
    <t>№9-1 от 24.02.12г.</t>
  </si>
  <si>
    <t>№9-2/12 от 14.08.12г.</t>
  </si>
  <si>
    <t>№9-3/12 от 24.12.2012г</t>
  </si>
  <si>
    <t>Образование долгового обязательства  за отчетный период (январь)</t>
  </si>
  <si>
    <t>№9-1/13 от 09.08.2013г</t>
  </si>
  <si>
    <t>22.07.2016г.</t>
  </si>
  <si>
    <t>№9-2/13 от 2412.2013г</t>
  </si>
  <si>
    <t>25.11.2016г.</t>
  </si>
  <si>
    <t>С.К. Прокопьев</t>
  </si>
  <si>
    <t>№9-1/14 от 11.03.2014г</t>
  </si>
  <si>
    <t>20.12.2017г.</t>
  </si>
  <si>
    <t>№9-2/14 от 11.07.2014г</t>
  </si>
  <si>
    <t>№9-1 от 08.04.11г.\рестр.9р-3</t>
  </si>
  <si>
    <t>№9-3/14 от 16.09.2014г</t>
  </si>
  <si>
    <t>25.08.2017г.</t>
  </si>
  <si>
    <t>№9-4/14 от 25.12.2014г</t>
  </si>
  <si>
    <t>27.02.2017г.</t>
  </si>
  <si>
    <t>Погашение долгового  обязательства за отчетный период (январь)</t>
  </si>
  <si>
    <t>№9-1/15 от 16.06.2015г.</t>
  </si>
  <si>
    <t>№9-2/15 от 26.06.2015 год</t>
  </si>
  <si>
    <t>№0106300009115000020 от 28.07.2015г.</t>
  </si>
  <si>
    <t>ПАО "Совкомбанк"</t>
  </si>
  <si>
    <t>№9-3/15 от 10.10.2015 год</t>
  </si>
  <si>
    <t>20.11.2018г.</t>
  </si>
  <si>
    <t>№0106300009115000044 от 15.12.2015г.</t>
  </si>
  <si>
    <t>16.12.2016г</t>
  </si>
  <si>
    <t>28.07.2017г</t>
  </si>
  <si>
    <t>№9-4/15 от 28.12.2015 год</t>
  </si>
  <si>
    <t>22.07.2017г.</t>
  </si>
  <si>
    <t>Остаток долгового обязательства на начало отчетного периода (1.01.2016)</t>
  </si>
  <si>
    <t xml:space="preserve">Т.Н.Столярова </t>
  </si>
  <si>
    <t>№0106300009116000011 от 08.04.2016г.</t>
  </si>
  <si>
    <t>08.04.2017г</t>
  </si>
  <si>
    <t>№9-1/16 от03.08.2016 год</t>
  </si>
  <si>
    <t>22.07.2019г.</t>
  </si>
  <si>
    <t>Образование долгового обязательства  за отчетный период (январь-ноябрь)</t>
  </si>
  <si>
    <t>Погашение долгового  обязательства за отчетный период (январь-ноябрь)</t>
  </si>
  <si>
    <t>Остаток долгового обязательства на конец отчетного периода (1.12.2016)</t>
  </si>
  <si>
    <t>по состоянию на  1.01.2017 года</t>
  </si>
  <si>
    <t>№9-2/16 от23.12.2016 год</t>
  </si>
  <si>
    <t>№0106300009116000066 от 05.12.2016г.</t>
  </si>
  <si>
    <t>23.11.2016г.</t>
  </si>
  <si>
    <t>по состоянию на  1.02.2017 года</t>
  </si>
  <si>
    <t>08.04.2018г</t>
  </si>
  <si>
    <t>Остаток долгового обязательства на начало отчетного периода (1.01.2017)</t>
  </si>
  <si>
    <t>Остаток долгового обязательства на конец отчетного периода (1.02.2017)</t>
  </si>
  <si>
    <t>по состоянию на  1.03.2017 года</t>
  </si>
  <si>
    <t>Образование долгового обязательства  за отчетный период (январь-февраль)</t>
  </si>
  <si>
    <t>Погашение долгового  обязательства за отчетный период (январь-февраль)</t>
  </si>
  <si>
    <t>Остаток долгового обязательства на конец отчетного периода (1.03.2017)</t>
  </si>
  <si>
    <t>по состоянию на  1.04.2017 года</t>
  </si>
  <si>
    <t>Остаток долгового обязательства на конец отчетного периода (1.04.2017)</t>
  </si>
  <si>
    <t>Образование долгового обязательства  за отчетный период (январь-апрель)</t>
  </si>
  <si>
    <t>Погашение долгового  обязательства за отчетный период (январь-апрель)</t>
  </si>
  <si>
    <t>Остаток долгового обязательства на конец отчетного периода (1.05.2017)</t>
  </si>
  <si>
    <t>Погашение долгового  обязательства за отчетный период (январь-март)</t>
  </si>
  <si>
    <t>Образование долгового обязательства  за отчетный период (январь-март)</t>
  </si>
  <si>
    <t>по состоянию на  1.06.2017 года</t>
  </si>
  <si>
    <t>по состоянию на  1.05.2017 года</t>
  </si>
  <si>
    <t>Образование долгового обязательства  за отчетный период (январь-май)</t>
  </si>
  <si>
    <t>Погашение долгового  обязательства за отчетный период (январь-май)</t>
  </si>
  <si>
    <t>Остаток долгового обязательства на конец отчетного периода (1.06.2017)</t>
  </si>
  <si>
    <t>по состоянию на  1.07.2017 года</t>
  </si>
  <si>
    <t>Образование долгового обязательства  за отчетный период (январь-июнь)</t>
  </si>
  <si>
    <t>Погашение долгового  обязательства за отчетный период (январь-июнь)</t>
  </si>
  <si>
    <t>Остаток долгового обязательства на конец отчетного периода (1.07.2017)</t>
  </si>
  <si>
    <t>№9-2/14 р (к дог 9-2/14 от 10.07.2014г.) от 24.06.2016г.</t>
  </si>
  <si>
    <t>№9-1/14 р (к дог 9-1/14 от 11.03.2014г.) от 24.06.2016г.</t>
  </si>
  <si>
    <t>Соглашение о реструктуризации №9-1\17р от 23.01.2017г.</t>
  </si>
  <si>
    <t>15.12.2021г.</t>
  </si>
  <si>
    <t xml:space="preserve"> №9-1\17р от 19.06.2017г.</t>
  </si>
  <si>
    <t>по состоянию на  1.08.2017 года</t>
  </si>
  <si>
    <t>Образование долгового обязательства  за отчетный период (январь-июль)</t>
  </si>
  <si>
    <t>Погашение долгового  обязательства за отчетный период (январь-июль)</t>
  </si>
  <si>
    <t>Остаток долгового обязательства на конец отчетного периода (1.08.2017)</t>
  </si>
  <si>
    <t>23.06.2020г.</t>
  </si>
  <si>
    <t>23.06.2020 г</t>
  </si>
  <si>
    <t>20.12.2018г.</t>
  </si>
  <si>
    <t>по состоянию на  1.09.2017 года</t>
  </si>
  <si>
    <t>Образование долгового обязательства  за отчетный период (январь-август)</t>
  </si>
  <si>
    <t>Погашение долгового  обязательства за отчетный период (январь-август)</t>
  </si>
  <si>
    <t>Остаток долгового обязательства на конец отчетного периода (1.09.2017)</t>
  </si>
  <si>
    <t xml:space="preserve"> №9-2\17р от 11.08.2017г.</t>
  </si>
  <si>
    <t>по состоянию на  1.10.2017 года</t>
  </si>
  <si>
    <t>Образование долгового обязательства  за отчетный период (январь-сентябрь)</t>
  </si>
  <si>
    <t>Погашение долгового  обязательства за отчетный период (январь-сентябрь)</t>
  </si>
  <si>
    <t>Остаток долгового обязательства на конец отчетного периода (1.10.2017)</t>
  </si>
  <si>
    <t>по состоянию на  1.11.2017 года</t>
  </si>
  <si>
    <t>Образование долгового обязательства  за отчетный период (январь-октябрь)</t>
  </si>
  <si>
    <t>Погашение долгового  обязательства за отчетный период (январь-октябрь)</t>
  </si>
  <si>
    <t>Остаток долгового обязательства на конец отчетного периода (1.11.2017)</t>
  </si>
  <si>
    <t>ставка по кредиту (%)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</si>
</sst>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172" fontId="13" fillId="34" borderId="11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/>
    </xf>
    <xf numFmtId="172" fontId="13" fillId="34" borderId="10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/>
    </xf>
    <xf numFmtId="2" fontId="13" fillId="34" borderId="1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2" fontId="4" fillId="34" borderId="14" xfId="0" applyNumberFormat="1" applyFont="1" applyFill="1" applyBorder="1" applyAlignment="1">
      <alignment horizontal="center" vertical="center"/>
    </xf>
    <xf numFmtId="2" fontId="13" fillId="34" borderId="14" xfId="0" applyNumberFormat="1" applyFont="1" applyFill="1" applyBorder="1" applyAlignment="1">
      <alignment horizontal="center" vertical="center"/>
    </xf>
    <xf numFmtId="172" fontId="13" fillId="34" borderId="14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/>
    </xf>
    <xf numFmtId="2" fontId="13" fillId="34" borderId="14" xfId="0" applyNumberFormat="1" applyFont="1" applyFill="1" applyBorder="1" applyAlignment="1">
      <alignment/>
    </xf>
    <xf numFmtId="2" fontId="13" fillId="34" borderId="14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2" fontId="51" fillId="0" borderId="10" xfId="0" applyNumberFormat="1" applyFont="1" applyFill="1" applyBorder="1" applyAlignment="1">
      <alignment/>
    </xf>
    <xf numFmtId="2" fontId="51" fillId="0" borderId="14" xfId="0" applyNumberFormat="1" applyFont="1" applyFill="1" applyBorder="1" applyAlignment="1">
      <alignment/>
    </xf>
    <xf numFmtId="14" fontId="4" fillId="35" borderId="10" xfId="0" applyNumberFormat="1" applyFont="1" applyFill="1" applyBorder="1" applyAlignment="1">
      <alignment horizontal="center" vertical="center"/>
    </xf>
    <xf numFmtId="14" fontId="4" fillId="35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  <xf numFmtId="0" fontId="4" fillId="0" borderId="38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80"/>
  <sheetViews>
    <sheetView zoomScalePageLayoutView="0" workbookViewId="0" topLeftCell="L1">
      <selection activeCell="T1" sqref="T1:EX1638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hidden="1" customWidth="1"/>
    <col min="21" max="21" width="12.875" style="8" hidden="1" customWidth="1"/>
    <col min="22" max="22" width="11.75390625" style="8" hidden="1" customWidth="1"/>
    <col min="23" max="154" width="0" style="8" hidden="1" customWidth="1"/>
    <col min="155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75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66</v>
      </c>
      <c r="I8" s="11" t="s">
        <v>72</v>
      </c>
      <c r="J8" s="11" t="s">
        <v>73</v>
      </c>
      <c r="K8" s="11" t="s">
        <v>74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8">H23+I23-J23</f>
        <v>0</v>
      </c>
      <c r="L23" s="47">
        <f aca="true" t="shared" si="1" ref="L23:L38">K23</f>
        <v>0</v>
      </c>
      <c r="M23" s="7"/>
      <c r="N23" s="7"/>
      <c r="O23" s="5"/>
      <c r="P23" s="7"/>
      <c r="Q23" s="6">
        <f aca="true" t="shared" si="2" ref="Q23:Q38">N23+O23-P23</f>
        <v>0</v>
      </c>
      <c r="R23" s="48">
        <f aca="true" t="shared" si="3" ref="R23:R38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2605.66+2437.55+2605.66+2521.61+2605.66+1833.13+71.06+71.06+68.77+71.06+68.77+71.06</f>
        <v>15031.05</v>
      </c>
      <c r="P25" s="7">
        <f>2939.37+2605.66+2437.55+2605.66+2521.61+2605.66+1833.13+71.06+71.06+68.77+71.06+68.77</f>
        <v>17899.360000000004</v>
      </c>
      <c r="Q25" s="6">
        <f t="shared" si="2"/>
        <v>71.05999999999403</v>
      </c>
      <c r="R25" s="48">
        <f t="shared" si="3"/>
        <v>839071.06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6782.79+6345.19+6782.79+6563.99+6782.79+4771.81+184.98+184.98+179.02+184.98+179.02+184.98</f>
        <v>39127.32000000001</v>
      </c>
      <c r="P26" s="7">
        <f>7651.48+6782.79+6345.19+6782.79+6563.99+6782.79+4771.81+184.98+184.98+179.02+184.98+179.02</f>
        <v>46593.82</v>
      </c>
      <c r="Q26" s="6">
        <f t="shared" si="2"/>
        <v>184.9800000000032</v>
      </c>
      <c r="R26" s="48">
        <f t="shared" si="3"/>
        <v>2184184.98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5350000</v>
      </c>
      <c r="I27" s="32"/>
      <c r="J27" s="32">
        <f>420000+820000+820000+820000+820000</f>
        <v>3700000</v>
      </c>
      <c r="K27" s="53">
        <f t="shared" si="0"/>
        <v>1650000</v>
      </c>
      <c r="L27" s="47">
        <f t="shared" si="1"/>
        <v>1650000</v>
      </c>
      <c r="M27" s="7"/>
      <c r="N27" s="7">
        <v>12495.55</v>
      </c>
      <c r="O27" s="5">
        <f>16068.36+12598.02+11532.07+8820.12+6520.92+3758.36+829.5</f>
        <v>60127.35</v>
      </c>
      <c r="P27" s="7">
        <f>12495.55+16068.36+12598.02+11532.07+8820.12+6520.92+3758.36+829.5</f>
        <v>72622.90000000001</v>
      </c>
      <c r="Q27" s="6">
        <f t="shared" si="2"/>
        <v>0</v>
      </c>
      <c r="R27" s="48">
        <f t="shared" si="3"/>
        <v>1650000.0000000002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10000000</v>
      </c>
      <c r="I28" s="32"/>
      <c r="J28" s="32">
        <f>910000+910000+910000+910000+910000</f>
        <v>4550000</v>
      </c>
      <c r="K28" s="53">
        <f t="shared" si="0"/>
        <v>5450000</v>
      </c>
      <c r="L28" s="47">
        <f t="shared" si="1"/>
        <v>5450000</v>
      </c>
      <c r="M28" s="7"/>
      <c r="N28" s="7">
        <v>23356.16</v>
      </c>
      <c r="O28" s="5">
        <f>29871.58+24494.76+24036.92+20664.76+18475.76+12413.95+2739.88</f>
        <v>132697.61</v>
      </c>
      <c r="P28" s="7">
        <f>23356.16+29871.58+24494.76+24036.92+20664.76+18475.76+12413.95+2739.88</f>
        <v>156053.77000000002</v>
      </c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10000000</v>
      </c>
      <c r="I29" s="167">
        <v>-5523000</v>
      </c>
      <c r="J29" s="32">
        <f>526000+526000+526000+526000+789000</f>
        <v>2893000</v>
      </c>
      <c r="K29" s="53">
        <f t="shared" si="0"/>
        <v>1584000</v>
      </c>
      <c r="L29" s="47">
        <f t="shared" si="1"/>
        <v>1584000</v>
      </c>
      <c r="M29" s="7"/>
      <c r="N29" s="7">
        <v>23356.16</v>
      </c>
      <c r="O29" s="5">
        <f>30371.7+26418.27+26999.14+24627.2+23415.78+17112.65+4695.74+4695.74+4457.53+4471.68+4327.44+2882.23+4471.68</f>
        <v>178946.77999999997</v>
      </c>
      <c r="P29" s="7">
        <f>23356.16+30371.7+26418.27+26999.14+24627.2+23415.78+17112.65+4695.74+4695.74+4457.53+4471.68+2882.23+4327.44</f>
        <v>197831.25999999998</v>
      </c>
      <c r="Q29" s="6">
        <f t="shared" si="2"/>
        <v>4471.679999999993</v>
      </c>
      <c r="R29" s="48">
        <f t="shared" si="3"/>
        <v>1588471.68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65"/>
      <c r="G30" s="166"/>
      <c r="H30" s="167"/>
      <c r="I30" s="167">
        <v>5523000</v>
      </c>
      <c r="J30" s="167"/>
      <c r="K30" s="168">
        <f t="shared" si="0"/>
        <v>5523000</v>
      </c>
      <c r="L30" s="160">
        <f t="shared" si="1"/>
        <v>5523000</v>
      </c>
      <c r="M30" s="169"/>
      <c r="N30" s="169"/>
      <c r="O30" s="170"/>
      <c r="P30" s="169"/>
      <c r="Q30" s="6">
        <f t="shared" si="2"/>
        <v>0</v>
      </c>
      <c r="R30" s="48">
        <f t="shared" si="3"/>
        <v>5523000</v>
      </c>
      <c r="S30" s="171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5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45" t="s">
        <v>47</v>
      </c>
      <c r="G31" s="46" t="s">
        <v>28</v>
      </c>
      <c r="H31" s="32">
        <v>7000000</v>
      </c>
      <c r="I31" s="167">
        <v>-2723000</v>
      </c>
      <c r="J31" s="32">
        <f>389000+389000+389000+389000+389000</f>
        <v>1945000</v>
      </c>
      <c r="K31" s="53">
        <f t="shared" si="0"/>
        <v>2332000</v>
      </c>
      <c r="L31" s="47">
        <f t="shared" si="1"/>
        <v>2332000</v>
      </c>
      <c r="M31" s="7"/>
      <c r="N31" s="7">
        <v>16349.32</v>
      </c>
      <c r="O31" s="5">
        <f>21233.1+18388.6+18738.94+17024.41+16361.7+12978.59+6913.17+6913.17+6562.48+6583.31+6370.95+1421.04+6583.31</f>
        <v>146072.77000000002</v>
      </c>
      <c r="P31" s="7">
        <f>16349.32+21233.1+18388.6+18738.94+17024.41+16361.7+12978.59+6913.17+6913.17+6562.48+6583.31+1421.04+6370.95</f>
        <v>155838.78000000003</v>
      </c>
      <c r="Q31" s="6">
        <f t="shared" si="2"/>
        <v>6583.309999999998</v>
      </c>
      <c r="R31" s="48">
        <f t="shared" si="3"/>
        <v>2338583.3099999996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73" customFormat="1" ht="66.75" customHeight="1">
      <c r="A32" s="161"/>
      <c r="B32" s="162"/>
      <c r="C32" s="163" t="s">
        <v>103</v>
      </c>
      <c r="D32" s="163"/>
      <c r="E32" s="164"/>
      <c r="F32" s="165"/>
      <c r="G32" s="166"/>
      <c r="H32" s="167"/>
      <c r="I32" s="167">
        <v>2723000</v>
      </c>
      <c r="J32" s="167"/>
      <c r="K32" s="168">
        <f t="shared" si="0"/>
        <v>2723000</v>
      </c>
      <c r="L32" s="160">
        <f t="shared" si="1"/>
        <v>2723000</v>
      </c>
      <c r="M32" s="169"/>
      <c r="N32" s="169"/>
      <c r="O32" s="170"/>
      <c r="P32" s="169"/>
      <c r="Q32" s="6">
        <f t="shared" si="2"/>
        <v>0</v>
      </c>
      <c r="R32" s="48">
        <f t="shared" si="3"/>
        <v>2723000</v>
      </c>
      <c r="S32" s="171"/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45" t="s">
        <v>51</v>
      </c>
      <c r="G33" s="46" t="s">
        <v>28</v>
      </c>
      <c r="H33" s="32">
        <v>6000000</v>
      </c>
      <c r="I33" s="32"/>
      <c r="J33" s="32"/>
      <c r="K33" s="53">
        <f t="shared" si="0"/>
        <v>6000000</v>
      </c>
      <c r="L33" s="47">
        <f t="shared" si="1"/>
        <v>6000000</v>
      </c>
      <c r="M33" s="7"/>
      <c r="N33" s="7">
        <v>14013.7</v>
      </c>
      <c r="O33" s="5">
        <f>18634.05+17431.85+18634.05+18032.95+18634.05+17568.38+17786.89+17786.89+16884.59+16938.2+16391.8+16938.2</f>
        <v>211661.9</v>
      </c>
      <c r="P33" s="94">
        <f>14013.7+18634.05+17431.85+18634.05+18032.95+18634.05+17568.38+17786.89+17786.89+16884.59+16938.2+16391.8</f>
        <v>208737.4</v>
      </c>
      <c r="Q33" s="6">
        <f t="shared" si="2"/>
        <v>16938.20000000001</v>
      </c>
      <c r="R33" s="48">
        <f t="shared" si="3"/>
        <v>6016938.2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93" t="s">
        <v>53</v>
      </c>
      <c r="G34" s="133" t="s">
        <v>28</v>
      </c>
      <c r="H34" s="6">
        <v>10000000</v>
      </c>
      <c r="I34" s="6"/>
      <c r="J34" s="6"/>
      <c r="K34" s="47">
        <f t="shared" si="0"/>
        <v>10000000</v>
      </c>
      <c r="L34" s="47">
        <f t="shared" si="1"/>
        <v>10000000</v>
      </c>
      <c r="M34" s="7"/>
      <c r="N34" s="7">
        <v>23356.16</v>
      </c>
      <c r="O34" s="134">
        <f>31056.75+29053.09+31056.75+30054.92+31056.75+29280.63+29644.81+29644.81+28140.98+28230.33+27319.67+28230.33</f>
        <v>352769.82</v>
      </c>
      <c r="P34" s="135">
        <f>23356.16+31056.75+29053.09+31056.75+30054.92+31056.75+29280.63+29644.81+29644.81+28140.98+28230.33+27319.67</f>
        <v>347895.64999999997</v>
      </c>
      <c r="Q34" s="6">
        <f t="shared" si="2"/>
        <v>28230.330000000016</v>
      </c>
      <c r="R34" s="48">
        <f t="shared" si="3"/>
        <v>10028230.33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45"/>
      <c r="G35" s="133" t="s">
        <v>28</v>
      </c>
      <c r="H35" s="44">
        <v>10000000</v>
      </c>
      <c r="I35" s="44"/>
      <c r="J35" s="32"/>
      <c r="K35" s="47">
        <f t="shared" si="0"/>
        <v>10000000</v>
      </c>
      <c r="L35" s="47">
        <f t="shared" si="1"/>
        <v>10000000</v>
      </c>
      <c r="M35" s="4"/>
      <c r="N35" s="4">
        <v>23356.16</v>
      </c>
      <c r="O35" s="5">
        <f>31056.75+29053.09+31056.75+30054.92+31056.75+29280.63+29644.81+29644.81+28140.98+28230.33+27319.67+28230.33</f>
        <v>352769.82</v>
      </c>
      <c r="P35" s="94">
        <f>23356.16+31056.75+29053.09+31056.75+30054.92+31056.75+29280.63+29644.81+29644.81+28140.98+28230.33+27319.67</f>
        <v>347895.64999999997</v>
      </c>
      <c r="Q35" s="6">
        <f t="shared" si="2"/>
        <v>28230.330000000016</v>
      </c>
      <c r="R35" s="48">
        <f t="shared" si="3"/>
        <v>10028230.33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/>
      <c r="G36" s="46" t="s">
        <v>28</v>
      </c>
      <c r="H36" s="44">
        <v>0</v>
      </c>
      <c r="I36" s="44"/>
      <c r="J36" s="32"/>
      <c r="K36" s="53">
        <f t="shared" si="0"/>
        <v>0</v>
      </c>
      <c r="L36" s="53">
        <f t="shared" si="1"/>
        <v>0</v>
      </c>
      <c r="M36" s="4"/>
      <c r="N36" s="4">
        <v>6893.68</v>
      </c>
      <c r="O36" s="5">
        <v>0</v>
      </c>
      <c r="P36" s="94">
        <f>6893.68</f>
        <v>6893.68</v>
      </c>
      <c r="Q36" s="6">
        <f t="shared" si="2"/>
        <v>0</v>
      </c>
      <c r="R36" s="48">
        <f t="shared" si="3"/>
        <v>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45" t="s">
        <v>60</v>
      </c>
      <c r="G37" s="46" t="s">
        <v>28</v>
      </c>
      <c r="H37" s="137">
        <v>6500000</v>
      </c>
      <c r="I37" s="137"/>
      <c r="J37" s="138"/>
      <c r="K37" s="53">
        <f t="shared" si="0"/>
        <v>6500000</v>
      </c>
      <c r="L37" s="53">
        <f t="shared" si="1"/>
        <v>6500000</v>
      </c>
      <c r="M37" s="139"/>
      <c r="N37" s="139">
        <v>15181.51</v>
      </c>
      <c r="O37" s="5">
        <f>20186.89+18884.51+20186.89+19535.7+20186.89+19032.41+19269.13+19269.13+18291.63+18349.71+17757.79+18349.71</f>
        <v>229300.38999999998</v>
      </c>
      <c r="P37" s="140">
        <f>15181.51+20186.89+18884.51+20186.89+19535.7+20186.89+19032.41+19269.13+19269.13+18291.63+18349.71+17757.79</f>
        <v>226132.19</v>
      </c>
      <c r="Q37" s="32">
        <f t="shared" si="2"/>
        <v>18349.709999999992</v>
      </c>
      <c r="R37" s="32">
        <f t="shared" si="3"/>
        <v>6518349.709999999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45" t="s">
        <v>60</v>
      </c>
      <c r="G38" s="46" t="s">
        <v>28</v>
      </c>
      <c r="H38" s="137">
        <v>12400000</v>
      </c>
      <c r="I38" s="137"/>
      <c r="J38" s="138"/>
      <c r="K38" s="153">
        <f t="shared" si="0"/>
        <v>12400000</v>
      </c>
      <c r="L38" s="153">
        <f t="shared" si="1"/>
        <v>12400000</v>
      </c>
      <c r="M38" s="139"/>
      <c r="N38" s="139">
        <v>7473.97</v>
      </c>
      <c r="O38" s="154">
        <f>38510.37+36025.83+38510.37+37268.1+38510.37+36307.98+36759.56+36759.56+34894.82+35005.61+33876.39+35005.61</f>
        <v>437434.57</v>
      </c>
      <c r="P38" s="140">
        <f>7473.97+38510.37+36025.83+38510.37+37268.1+38510.37+36307.98+36759.56+36759.56+13167.22+21727.6+35005.61+33876.39</f>
        <v>409902.93</v>
      </c>
      <c r="Q38" s="32">
        <f t="shared" si="2"/>
        <v>35005.609999999986</v>
      </c>
      <c r="R38" s="32">
        <f t="shared" si="3"/>
        <v>12435005.610000001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66.75" customHeight="1">
      <c r="A39" s="50"/>
      <c r="B39" s="42" t="s">
        <v>15</v>
      </c>
      <c r="C39" s="52" t="s">
        <v>70</v>
      </c>
      <c r="D39" s="52" t="s">
        <v>34</v>
      </c>
      <c r="E39" s="44">
        <v>24800000</v>
      </c>
      <c r="F39" s="45" t="s">
        <v>71</v>
      </c>
      <c r="G39" s="46" t="s">
        <v>28</v>
      </c>
      <c r="H39" s="137"/>
      <c r="I39" s="137">
        <v>24800000</v>
      </c>
      <c r="J39" s="138"/>
      <c r="K39" s="153">
        <f>H39+I39-J39</f>
        <v>24800000</v>
      </c>
      <c r="L39" s="153">
        <f>K39</f>
        <v>24800000</v>
      </c>
      <c r="M39" s="139"/>
      <c r="N39" s="139"/>
      <c r="O39" s="154">
        <f>54546.45+69789.63+70011.21+67752.79+70011.21</f>
        <v>332111.29000000004</v>
      </c>
      <c r="P39" s="140">
        <f>54546.45+69789.63+70011.21+67752.79</f>
        <v>262100.08000000002</v>
      </c>
      <c r="Q39" s="32">
        <f>N39+O39-P39</f>
        <v>70011.21000000002</v>
      </c>
      <c r="R39" s="32">
        <f>K39+N39+O39-P39</f>
        <v>24870011.21</v>
      </c>
      <c r="S39" s="49"/>
      <c r="T39" s="49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66.75" customHeight="1">
      <c r="A40" s="50"/>
      <c r="B40" s="157"/>
      <c r="C40" s="52" t="s">
        <v>76</v>
      </c>
      <c r="D40" s="52" t="s">
        <v>34</v>
      </c>
      <c r="E40" s="44">
        <v>16000000</v>
      </c>
      <c r="F40" s="45" t="s">
        <v>78</v>
      </c>
      <c r="G40" s="46" t="s">
        <v>28</v>
      </c>
      <c r="H40" s="137"/>
      <c r="I40" s="137">
        <v>16000000</v>
      </c>
      <c r="J40" s="138"/>
      <c r="K40" s="153">
        <f>H40+I40-J40</f>
        <v>16000000</v>
      </c>
      <c r="L40" s="153">
        <f>K40</f>
        <v>16000000</v>
      </c>
      <c r="M40" s="139"/>
      <c r="N40" s="139"/>
      <c r="O40" s="154">
        <v>8742.3</v>
      </c>
      <c r="P40" s="140"/>
      <c r="Q40" s="32">
        <f>N40+O40-P40</f>
        <v>8742.3</v>
      </c>
      <c r="R40" s="32">
        <f>K40+N40+O40-P40</f>
        <v>16008742.3</v>
      </c>
      <c r="S40" s="49"/>
      <c r="T40" s="49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.75" customHeight="1" thickBot="1">
      <c r="A41" s="95" t="s">
        <v>21</v>
      </c>
      <c r="B41" s="18"/>
      <c r="C41" s="18"/>
      <c r="D41" s="96"/>
      <c r="E41" s="97"/>
      <c r="F41" s="98"/>
      <c r="G41" s="98"/>
      <c r="H41" s="136">
        <f aca="true" t="shared" si="4" ref="H41:Q41">H23+H24+H25+H26+H27+H28+H29+H31+H33+H34+H35+H36+H37+H38+H39+H40+H30+H32</f>
        <v>80273000</v>
      </c>
      <c r="I41" s="136">
        <f t="shared" si="4"/>
        <v>40800000</v>
      </c>
      <c r="J41" s="136">
        <f t="shared" si="4"/>
        <v>13088000</v>
      </c>
      <c r="K41" s="136">
        <f t="shared" si="4"/>
        <v>107985000</v>
      </c>
      <c r="L41" s="136">
        <f t="shared" si="4"/>
        <v>107985000</v>
      </c>
      <c r="M41" s="136">
        <f t="shared" si="4"/>
        <v>0</v>
      </c>
      <c r="N41" s="136">
        <f t="shared" si="4"/>
        <v>176423.22</v>
      </c>
      <c r="O41" s="136">
        <f t="shared" si="4"/>
        <v>2496792.9699999997</v>
      </c>
      <c r="P41" s="136">
        <f t="shared" si="4"/>
        <v>2456397.4699999997</v>
      </c>
      <c r="Q41" s="136">
        <f t="shared" si="4"/>
        <v>216818.72000000003</v>
      </c>
      <c r="R41" s="136">
        <f>R23+R24+R25+R26+R27+R28+R29+R31+R33+R34+R35+R36+R37+R38+R39+R40+R30+R32</f>
        <v>108201818.71999998</v>
      </c>
      <c r="S41" s="136">
        <f>S23+S24+S25+S26+S27+S28+S29+S31+S33+S34+S35+S36+S37+S38+S39+S40</f>
        <v>0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19" ht="16.5" customHeight="1" thickBot="1">
      <c r="A42" s="141" t="s">
        <v>19</v>
      </c>
      <c r="B42" s="142" t="s">
        <v>23</v>
      </c>
      <c r="C42" s="142"/>
      <c r="D42" s="142"/>
      <c r="E42" s="142"/>
      <c r="F42" s="142"/>
      <c r="G42" s="20"/>
      <c r="H42" s="10"/>
      <c r="I42" s="10"/>
      <c r="J42" s="10"/>
      <c r="K42" s="10"/>
      <c r="L42" s="99"/>
      <c r="M42" s="10"/>
      <c r="N42" s="10"/>
      <c r="O42" s="10"/>
      <c r="P42" s="146"/>
      <c r="Q42" s="10"/>
      <c r="R42" s="147"/>
      <c r="S42" s="25"/>
    </row>
    <row r="43" spans="1:19" ht="69" customHeight="1">
      <c r="A43" s="144">
        <v>1</v>
      </c>
      <c r="B43" s="42" t="s">
        <v>23</v>
      </c>
      <c r="C43" s="145" t="s">
        <v>57</v>
      </c>
      <c r="D43" s="132" t="s">
        <v>58</v>
      </c>
      <c r="E43" s="17">
        <v>9000000</v>
      </c>
      <c r="F43" s="132" t="s">
        <v>63</v>
      </c>
      <c r="G43" s="133" t="s">
        <v>28</v>
      </c>
      <c r="H43" s="3">
        <v>9000000</v>
      </c>
      <c r="I43" s="155"/>
      <c r="J43" s="3"/>
      <c r="K43" s="6">
        <f>H43+I43-J43</f>
        <v>9000000</v>
      </c>
      <c r="L43" s="6">
        <f>K43</f>
        <v>9000000</v>
      </c>
      <c r="M43" s="3"/>
      <c r="N43" s="3">
        <v>0</v>
      </c>
      <c r="O43" s="3">
        <f>302459.01+144836.07+140163.93+144836.07+140163.93+136229.51+137213.11+132786.89+133893.44+129098.36+133401.64</f>
        <v>1675081.96</v>
      </c>
      <c r="P43" s="17">
        <f>156270.49+146188.52+144836.07+140163.93+144836.07+140163.93+136229.51+137213.11+132786.89+133893.44+129098.36+133401.64</f>
        <v>1675081.96</v>
      </c>
      <c r="Q43" s="6">
        <f>N43+O43-P43</f>
        <v>0</v>
      </c>
      <c r="R43" s="6">
        <f>K43+N43+O43-P43</f>
        <v>9000000</v>
      </c>
      <c r="S43" s="25"/>
    </row>
    <row r="44" spans="1:19" ht="69" customHeight="1">
      <c r="A44" s="152">
        <v>2</v>
      </c>
      <c r="B44" s="42" t="s">
        <v>23</v>
      </c>
      <c r="C44" s="145" t="s">
        <v>61</v>
      </c>
      <c r="D44" s="132" t="s">
        <v>58</v>
      </c>
      <c r="E44" s="17">
        <v>5000000</v>
      </c>
      <c r="F44" s="132" t="s">
        <v>62</v>
      </c>
      <c r="G44" s="133" t="s">
        <v>28</v>
      </c>
      <c r="H44" s="3">
        <v>5000000</v>
      </c>
      <c r="I44" s="155"/>
      <c r="J44" s="3">
        <v>5000000</v>
      </c>
      <c r="K44" s="6">
        <f>H44+I44-J44</f>
        <v>0</v>
      </c>
      <c r="L44" s="6">
        <f>K44</f>
        <v>0</v>
      </c>
      <c r="M44" s="3"/>
      <c r="N44" s="3">
        <v>0</v>
      </c>
      <c r="O44" s="17">
        <f>134426.23+69453.55+67213.11+69453.55+67213.11+69453.55+69453.55+67213.11+69453.55+67213.11+33606.56-13442.63</f>
        <v>770710.35</v>
      </c>
      <c r="P44" s="17">
        <f>69453.55+64972.68+69453.55+67213.11+69453.55+67213.11+69453.55+69453.55+67213.11+69453.55+67213.11+33606.56-13442.63</f>
        <v>770710.35</v>
      </c>
      <c r="Q44" s="6">
        <f>N44+O44-P44</f>
        <v>0</v>
      </c>
      <c r="R44" s="6">
        <f>K44+N44+O44-P44</f>
        <v>0</v>
      </c>
      <c r="S44" s="25"/>
    </row>
    <row r="45" spans="1:19" ht="69" customHeight="1">
      <c r="A45" s="152">
        <v>3</v>
      </c>
      <c r="B45" s="42" t="s">
        <v>23</v>
      </c>
      <c r="C45" s="145" t="s">
        <v>68</v>
      </c>
      <c r="D45" s="132" t="s">
        <v>58</v>
      </c>
      <c r="E45" s="17"/>
      <c r="F45" s="132" t="s">
        <v>69</v>
      </c>
      <c r="G45" s="133" t="s">
        <v>28</v>
      </c>
      <c r="H45" s="3"/>
      <c r="I45" s="155">
        <v>10000000</v>
      </c>
      <c r="J45" s="3"/>
      <c r="K45" s="6">
        <f>H45+I45-J45</f>
        <v>10000000</v>
      </c>
      <c r="L45" s="6">
        <f>K45</f>
        <v>10000000</v>
      </c>
      <c r="M45" s="3"/>
      <c r="N45" s="3">
        <v>0</v>
      </c>
      <c r="O45" s="3">
        <f>110420.77+155592.9+150573.77+152054.65+152459.02+147540.98+144297.83+4472.66+143442.62+148224.04</f>
        <v>1309079.24</v>
      </c>
      <c r="P45" s="17">
        <f>110420.77+155592.9+150573.77+152054.65+152459.02+147540.98+144297.83+4472.66+143442.62+148224.04</f>
        <v>1309079.24</v>
      </c>
      <c r="Q45" s="6">
        <f>N45+O45-P45</f>
        <v>0</v>
      </c>
      <c r="R45" s="6">
        <f>K45+N45+O45-P45</f>
        <v>10000000</v>
      </c>
      <c r="S45" s="25"/>
    </row>
    <row r="46" spans="1:19" ht="69" customHeight="1">
      <c r="A46" s="152">
        <v>4</v>
      </c>
      <c r="B46" s="42" t="s">
        <v>23</v>
      </c>
      <c r="C46" s="145" t="s">
        <v>77</v>
      </c>
      <c r="D46" s="132" t="s">
        <v>58</v>
      </c>
      <c r="E46" s="17"/>
      <c r="F46" s="158">
        <v>43439</v>
      </c>
      <c r="G46" s="133"/>
      <c r="H46" s="3"/>
      <c r="I46" s="155">
        <v>8000000</v>
      </c>
      <c r="J46" s="3"/>
      <c r="K46" s="6">
        <f>H46+I46-J46</f>
        <v>8000000</v>
      </c>
      <c r="L46" s="6">
        <f>K46</f>
        <v>8000000</v>
      </c>
      <c r="M46" s="3"/>
      <c r="N46" s="3"/>
      <c r="O46" s="3">
        <v>81311.48</v>
      </c>
      <c r="P46" s="17">
        <v>81311.48</v>
      </c>
      <c r="Q46" s="6">
        <f>N46+O46-P46</f>
        <v>0</v>
      </c>
      <c r="R46" s="6">
        <f>K46+N46+O46-P46</f>
        <v>8000000</v>
      </c>
      <c r="S46" s="25"/>
    </row>
    <row r="47" spans="1:19" ht="16.5" customHeight="1" thickBot="1">
      <c r="A47" s="95" t="s">
        <v>21</v>
      </c>
      <c r="B47" s="143"/>
      <c r="C47" s="143"/>
      <c r="D47" s="14"/>
      <c r="E47" s="14"/>
      <c r="F47" s="14"/>
      <c r="G47" s="14"/>
      <c r="H47" s="1">
        <f>H43+H44+H45+H46</f>
        <v>14000000</v>
      </c>
      <c r="I47" s="1">
        <f aca="true" t="shared" si="5" ref="I47:R47">I43+I44+I45+I46</f>
        <v>18000000</v>
      </c>
      <c r="J47" s="1">
        <f t="shared" si="5"/>
        <v>5000000</v>
      </c>
      <c r="K47" s="1">
        <f t="shared" si="5"/>
        <v>27000000</v>
      </c>
      <c r="L47" s="1">
        <f t="shared" si="5"/>
        <v>27000000</v>
      </c>
      <c r="M47" s="1">
        <f t="shared" si="5"/>
        <v>0</v>
      </c>
      <c r="N47" s="1">
        <f t="shared" si="5"/>
        <v>0</v>
      </c>
      <c r="O47" s="1">
        <f t="shared" si="5"/>
        <v>3836183.03</v>
      </c>
      <c r="P47" s="1">
        <f t="shared" si="5"/>
        <v>3836183.03</v>
      </c>
      <c r="Q47" s="1">
        <f t="shared" si="5"/>
        <v>0</v>
      </c>
      <c r="R47" s="1">
        <f t="shared" si="5"/>
        <v>27000000</v>
      </c>
      <c r="S47" s="1">
        <f>S43+S44+S45</f>
        <v>0</v>
      </c>
    </row>
    <row r="48" spans="1:35" s="83" customFormat="1" ht="18" customHeight="1" thickBot="1">
      <c r="A48" s="101" t="s">
        <v>5</v>
      </c>
      <c r="B48" s="102" t="s">
        <v>22</v>
      </c>
      <c r="C48" s="102"/>
      <c r="D48" s="148"/>
      <c r="E48" s="148"/>
      <c r="F48" s="148"/>
      <c r="G48" s="148"/>
      <c r="H48" s="148"/>
      <c r="I48" s="143"/>
      <c r="J48" s="143"/>
      <c r="K48" s="143"/>
      <c r="L48" s="143"/>
      <c r="M48" s="143"/>
      <c r="N48" s="143"/>
      <c r="O48" s="143"/>
      <c r="P48" s="151"/>
      <c r="Q48" s="143"/>
      <c r="R48" s="149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</row>
    <row r="49" spans="1:35" s="83" customFormat="1" ht="69.75" customHeight="1" hidden="1">
      <c r="A49" s="101"/>
      <c r="B49" s="103"/>
      <c r="C49" s="104"/>
      <c r="D49" s="104"/>
      <c r="E49" s="105"/>
      <c r="F49" s="104"/>
      <c r="G49" s="46"/>
      <c r="H49" s="62"/>
      <c r="I49" s="62"/>
      <c r="J49" s="33"/>
      <c r="K49" s="62"/>
      <c r="L49" s="32"/>
      <c r="M49" s="21"/>
      <c r="N49" s="21"/>
      <c r="O49" s="21"/>
      <c r="P49" s="150"/>
      <c r="Q49" s="62"/>
      <c r="R49" s="62"/>
      <c r="S49" s="82"/>
      <c r="T49" s="106"/>
      <c r="U49" s="106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s="83" customFormat="1" ht="18" customHeight="1" thickBot="1">
      <c r="A50" s="107" t="s">
        <v>21</v>
      </c>
      <c r="B50" s="108"/>
      <c r="C50" s="109"/>
      <c r="D50" s="109"/>
      <c r="E50" s="110"/>
      <c r="F50" s="111"/>
      <c r="G50" s="104"/>
      <c r="H50" s="34">
        <f>H49</f>
        <v>0</v>
      </c>
      <c r="I50" s="34">
        <f>I49</f>
        <v>0</v>
      </c>
      <c r="J50" s="34">
        <f>J49</f>
        <v>0</v>
      </c>
      <c r="K50" s="34">
        <f>K49</f>
        <v>0</v>
      </c>
      <c r="L50" s="34">
        <f>L49</f>
        <v>0</v>
      </c>
      <c r="M50" s="22">
        <v>3</v>
      </c>
      <c r="N50" s="22">
        <v>0</v>
      </c>
      <c r="O50" s="22">
        <v>0</v>
      </c>
      <c r="P50" s="22">
        <v>0</v>
      </c>
      <c r="Q50" s="34">
        <f>K50</f>
        <v>0</v>
      </c>
      <c r="R50" s="34">
        <f>Q50</f>
        <v>0</v>
      </c>
      <c r="S50" s="82"/>
      <c r="T50" s="11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20" ht="16.5" customHeight="1" thickBot="1">
      <c r="A51" s="113"/>
      <c r="B51" s="20" t="s">
        <v>16</v>
      </c>
      <c r="C51" s="19"/>
      <c r="D51" s="19"/>
      <c r="E51" s="19"/>
      <c r="F51" s="100"/>
      <c r="G51" s="114"/>
      <c r="H51" s="23">
        <f>H41+H49+H47</f>
        <v>94273000</v>
      </c>
      <c r="I51" s="23">
        <f aca="true" t="shared" si="6" ref="I51:R51">I41+I49+I47</f>
        <v>58800000</v>
      </c>
      <c r="J51" s="23">
        <f t="shared" si="6"/>
        <v>18088000</v>
      </c>
      <c r="K51" s="23">
        <f>K41+K49+K47</f>
        <v>134985000</v>
      </c>
      <c r="L51" s="23">
        <f t="shared" si="6"/>
        <v>134985000</v>
      </c>
      <c r="M51" s="23">
        <f t="shared" si="6"/>
        <v>0</v>
      </c>
      <c r="N51" s="23">
        <f t="shared" si="6"/>
        <v>176423.22</v>
      </c>
      <c r="O51" s="23">
        <f t="shared" si="6"/>
        <v>6332976</v>
      </c>
      <c r="P51" s="23">
        <f t="shared" si="6"/>
        <v>6292580.5</v>
      </c>
      <c r="Q51" s="23">
        <f t="shared" si="6"/>
        <v>216818.72000000003</v>
      </c>
      <c r="R51" s="23">
        <f t="shared" si="6"/>
        <v>135201818.71999997</v>
      </c>
      <c r="S51" s="25"/>
      <c r="T51" s="115"/>
    </row>
    <row r="52" spans="1:19" ht="16.5" customHeight="1">
      <c r="A52" s="25"/>
      <c r="B52" s="82"/>
      <c r="C52" s="10"/>
      <c r="D52" s="10"/>
      <c r="E52" s="10"/>
      <c r="F52" s="10"/>
      <c r="G52" s="10"/>
      <c r="H52" s="24"/>
      <c r="I52" s="24"/>
      <c r="J52" s="24"/>
      <c r="K52" s="24"/>
      <c r="L52" s="24"/>
      <c r="M52" s="40"/>
      <c r="N52" s="24"/>
      <c r="O52" s="24"/>
      <c r="P52" s="24"/>
      <c r="Q52" s="24"/>
      <c r="R52" s="24"/>
      <c r="S52" s="25"/>
    </row>
    <row r="53" spans="1:19" ht="16.5" customHeight="1">
      <c r="A53" s="25"/>
      <c r="B53" s="10" t="s">
        <v>36</v>
      </c>
      <c r="C53" s="10"/>
      <c r="D53" s="10"/>
      <c r="E53" s="10"/>
      <c r="F53" s="10"/>
      <c r="G53" s="10"/>
      <c r="H53" s="24" t="s">
        <v>45</v>
      </c>
      <c r="I53" s="24"/>
      <c r="J53" s="24"/>
      <c r="K53" s="24"/>
      <c r="L53" s="24"/>
      <c r="M53" s="40"/>
      <c r="N53" s="24"/>
      <c r="O53" s="24"/>
      <c r="P53" s="40"/>
      <c r="Q53" s="24"/>
      <c r="R53" s="24"/>
      <c r="S53" s="25"/>
    </row>
    <row r="54" spans="1:19" ht="16.5" customHeight="1">
      <c r="A54" s="2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4"/>
      <c r="Q54" s="10"/>
      <c r="R54" s="10"/>
      <c r="S54" s="25"/>
    </row>
    <row r="55" spans="1:19" ht="15.75" customHeight="1">
      <c r="A55" s="25"/>
      <c r="B55" s="10" t="s">
        <v>27</v>
      </c>
      <c r="C55" s="10"/>
      <c r="D55" s="116"/>
      <c r="E55" s="117"/>
      <c r="F55" s="117"/>
      <c r="G55" s="117"/>
      <c r="H55" s="35" t="s">
        <v>67</v>
      </c>
      <c r="I55" s="35"/>
      <c r="J55" s="35"/>
      <c r="K55" s="35"/>
      <c r="L55" s="35"/>
      <c r="M55" s="10"/>
      <c r="N55" s="10"/>
      <c r="O55" s="10"/>
      <c r="P55" s="10"/>
      <c r="Q55" s="10"/>
      <c r="R55" s="10"/>
      <c r="S55" s="25"/>
    </row>
    <row r="56" spans="1:19" ht="15.75" customHeight="1">
      <c r="A56" s="25"/>
      <c r="B56" s="10" t="s">
        <v>26</v>
      </c>
      <c r="C56" s="10"/>
      <c r="D56" s="116"/>
      <c r="E56" s="117"/>
      <c r="F56" s="117"/>
      <c r="G56" s="117"/>
      <c r="H56" s="35"/>
      <c r="I56" s="35"/>
      <c r="J56" s="35"/>
      <c r="K56" s="118"/>
      <c r="L56" s="118"/>
      <c r="M56" s="10"/>
      <c r="N56" s="10"/>
      <c r="O56" s="10"/>
      <c r="P56" s="10"/>
      <c r="Q56" s="10"/>
      <c r="R56" s="10"/>
      <c r="S56" s="25"/>
    </row>
    <row r="57" spans="1:19" ht="12.75">
      <c r="A57" s="25"/>
      <c r="B57" s="10"/>
      <c r="C57" s="10"/>
      <c r="D57" s="39"/>
      <c r="E57" s="10"/>
      <c r="F57" s="10"/>
      <c r="G57" s="10"/>
      <c r="H57" s="36"/>
      <c r="I57" s="36"/>
      <c r="J57" s="36"/>
      <c r="K57" s="36"/>
      <c r="L57" s="36"/>
      <c r="M57" s="10"/>
      <c r="N57" s="10"/>
      <c r="O57" s="10"/>
      <c r="P57" s="10"/>
      <c r="Q57" s="10"/>
      <c r="R57" s="10"/>
      <c r="S57" s="25"/>
    </row>
    <row r="58" spans="1:19" ht="0.75" customHeight="1">
      <c r="A58" s="25"/>
      <c r="B58" s="10"/>
      <c r="C58" s="10"/>
      <c r="D58" s="39"/>
      <c r="E58" s="10"/>
      <c r="F58" s="10"/>
      <c r="G58" s="10"/>
      <c r="H58" s="119"/>
      <c r="I58" s="36"/>
      <c r="J58" s="36"/>
      <c r="K58" s="36"/>
      <c r="L58" s="36"/>
      <c r="M58" s="10"/>
      <c r="N58" s="10"/>
      <c r="O58" s="10"/>
      <c r="P58" s="10"/>
      <c r="Q58" s="10"/>
      <c r="R58" s="10"/>
      <c r="S58" s="25"/>
    </row>
    <row r="59" spans="1:19" ht="14.25" customHeight="1" hidden="1">
      <c r="A59" s="25"/>
      <c r="B59" s="10"/>
      <c r="C59" s="10"/>
      <c r="D59" s="39"/>
      <c r="E59" s="10"/>
      <c r="F59" s="10"/>
      <c r="G59" s="10"/>
      <c r="H59" s="36"/>
      <c r="I59" s="36"/>
      <c r="J59" s="36"/>
      <c r="K59" s="36"/>
      <c r="L59" s="36"/>
      <c r="M59" s="10"/>
      <c r="N59" s="10"/>
      <c r="O59" s="10"/>
      <c r="P59" s="10"/>
      <c r="Q59" s="10"/>
      <c r="R59" s="10"/>
      <c r="S59" s="25"/>
    </row>
    <row r="60" spans="1:19" ht="13.5" customHeight="1" hidden="1">
      <c r="A60" s="25"/>
      <c r="B60" s="10"/>
      <c r="C60" s="10"/>
      <c r="D60" s="10"/>
      <c r="E60" s="10"/>
      <c r="F60" s="10"/>
      <c r="G60" s="10"/>
      <c r="H60" s="37"/>
      <c r="I60" s="37"/>
      <c r="J60" s="37"/>
      <c r="K60" s="37"/>
      <c r="L60" s="37"/>
      <c r="M60" s="10"/>
      <c r="N60" s="10"/>
      <c r="O60" s="10"/>
      <c r="P60" s="10"/>
      <c r="Q60" s="10"/>
      <c r="R60" s="10"/>
      <c r="S60" s="25"/>
    </row>
    <row r="61" spans="2:18" s="25" customFormat="1" ht="12.75" customHeight="1">
      <c r="B61" s="10" t="s">
        <v>14</v>
      </c>
      <c r="C61" s="39"/>
      <c r="D61" s="120"/>
      <c r="E61" s="121"/>
      <c r="F61" s="10"/>
      <c r="G61" s="10"/>
      <c r="H61" s="37"/>
      <c r="I61" s="37"/>
      <c r="J61" s="37"/>
      <c r="K61" s="37"/>
      <c r="L61" s="37"/>
      <c r="M61" s="10"/>
      <c r="N61" s="10"/>
      <c r="O61" s="10"/>
      <c r="P61" s="10"/>
      <c r="Q61" s="10"/>
      <c r="R61" s="10"/>
    </row>
    <row r="62" spans="1:18" s="25" customFormat="1" ht="9.75" customHeight="1">
      <c r="A62" s="122"/>
      <c r="B62" s="123" t="s">
        <v>20</v>
      </c>
      <c r="C62" s="10"/>
      <c r="D62" s="10"/>
      <c r="E62" s="124"/>
      <c r="F62" s="124"/>
      <c r="G62" s="125"/>
      <c r="H62" s="38"/>
      <c r="I62" s="38"/>
      <c r="J62" s="38"/>
      <c r="K62" s="38"/>
      <c r="L62" s="38"/>
      <c r="M62" s="10"/>
      <c r="N62" s="10"/>
      <c r="O62" s="10"/>
      <c r="P62" s="10"/>
      <c r="Q62" s="10"/>
      <c r="R62" s="10"/>
    </row>
    <row r="63" spans="2:18" s="25" customFormat="1" ht="12.75">
      <c r="B63" s="39"/>
      <c r="C63" s="10"/>
      <c r="D63" s="116"/>
      <c r="E63" s="38"/>
      <c r="F63" s="38"/>
      <c r="G63" s="38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126"/>
      <c r="G67" s="126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1:18" s="25" customFormat="1" ht="18.75">
      <c r="A68" s="122"/>
      <c r="B68" s="122"/>
      <c r="C68" s="127"/>
      <c r="D68" s="127"/>
      <c r="E68" s="127"/>
      <c r="F68" s="127"/>
      <c r="G68" s="127"/>
      <c r="H68" s="39"/>
      <c r="I68" s="39"/>
      <c r="J68" s="39"/>
      <c r="K68" s="39"/>
      <c r="L68" s="39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38"/>
      <c r="F69" s="38"/>
      <c r="G69" s="38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38"/>
      <c r="F70" s="38"/>
      <c r="G70" s="38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38"/>
      <c r="F71" s="38"/>
      <c r="G71" s="38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1:18" s="25" customFormat="1" ht="18.75">
      <c r="A72" s="128"/>
      <c r="B72" s="10"/>
      <c r="C72" s="10"/>
      <c r="D72" s="10"/>
      <c r="E72" s="125"/>
      <c r="F72" s="125"/>
      <c r="G72" s="125"/>
      <c r="H72" s="38"/>
      <c r="I72" s="38"/>
      <c r="J72" s="38"/>
      <c r="K72" s="38"/>
      <c r="L72" s="38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117"/>
      <c r="F73" s="129"/>
      <c r="G73" s="129"/>
      <c r="H73" s="35"/>
      <c r="I73" s="35"/>
      <c r="J73" s="35"/>
      <c r="K73" s="35"/>
      <c r="L73" s="35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117"/>
      <c r="F74" s="129"/>
      <c r="G74" s="129"/>
      <c r="H74" s="35"/>
      <c r="I74" s="35"/>
      <c r="J74" s="35"/>
      <c r="K74" s="35"/>
      <c r="L74" s="35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16"/>
      <c r="E75" s="117"/>
      <c r="F75" s="129"/>
      <c r="G75" s="129"/>
      <c r="H75" s="35"/>
      <c r="I75" s="35"/>
      <c r="J75" s="35"/>
      <c r="K75" s="35"/>
      <c r="L75" s="35"/>
      <c r="M75" s="10"/>
      <c r="N75" s="10"/>
      <c r="O75" s="10"/>
      <c r="P75" s="10"/>
      <c r="Q75" s="10"/>
      <c r="R75" s="10"/>
    </row>
    <row r="76" spans="1:18" s="25" customFormat="1" ht="18.75">
      <c r="A76" s="122"/>
      <c r="B76" s="122"/>
      <c r="C76" s="122"/>
      <c r="D76" s="122"/>
      <c r="E76" s="122"/>
      <c r="F76" s="122"/>
      <c r="G76" s="130"/>
      <c r="H76" s="131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8" s="25" customFormat="1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 s="25" customFormat="1" ht="12.75">
      <c r="B78" s="10"/>
      <c r="C78" s="10"/>
      <c r="D78" s="116"/>
      <c r="E78" s="117"/>
      <c r="F78" s="117"/>
      <c r="G78" s="117"/>
      <c r="H78" s="35"/>
      <c r="I78" s="35"/>
      <c r="J78" s="35"/>
      <c r="K78" s="118"/>
      <c r="L78" s="118"/>
      <c r="M78" s="10"/>
      <c r="N78" s="10"/>
      <c r="O78" s="10"/>
      <c r="P78" s="10"/>
      <c r="Q78" s="10"/>
      <c r="R78" s="10"/>
    </row>
    <row r="79" spans="2:18" s="25" customFormat="1" ht="12.75">
      <c r="B79" s="10"/>
      <c r="C79" s="10"/>
      <c r="D79" s="39"/>
      <c r="E79" s="10"/>
      <c r="F79" s="10"/>
      <c r="G79" s="10"/>
      <c r="H79" s="36"/>
      <c r="I79" s="36"/>
      <c r="J79" s="36"/>
      <c r="K79" s="36"/>
      <c r="L79" s="36"/>
      <c r="M79" s="10"/>
      <c r="N79" s="10"/>
      <c r="O79" s="10"/>
      <c r="Q79" s="10"/>
      <c r="R79" s="10"/>
    </row>
    <row r="80" s="25" customFormat="1" ht="12.75">
      <c r="P80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83"/>
  <sheetViews>
    <sheetView zoomScalePageLayoutView="0" workbookViewId="0" topLeftCell="A8">
      <pane ySplit="3195" topLeftCell="A47" activePane="topLeft" state="split"/>
      <selection pane="topLeft" activeCell="O41" sqref="O41"/>
      <selection pane="bottomLeft" activeCell="D10" sqref="D1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hidden="1" customWidth="1"/>
    <col min="21" max="21" width="12.875" style="8" hidden="1" customWidth="1"/>
    <col min="22" max="22" width="11.75390625" style="8" hidden="1" customWidth="1"/>
    <col min="23" max="48" width="0" style="8" hidden="1" customWidth="1"/>
    <col min="49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120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121</v>
      </c>
      <c r="J8" s="11" t="s">
        <v>122</v>
      </c>
      <c r="K8" s="11" t="s">
        <v>123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8">H23+I23-J23</f>
        <v>0</v>
      </c>
      <c r="L23" s="47">
        <f aca="true" t="shared" si="1" ref="L23:L38">K23</f>
        <v>0</v>
      </c>
      <c r="M23" s="7"/>
      <c r="N23" s="7"/>
      <c r="O23" s="5"/>
      <c r="P23" s="7"/>
      <c r="Q23" s="6">
        <f aca="true" t="shared" si="2" ref="Q23:Q38">N23+O23-P23</f>
        <v>0</v>
      </c>
      <c r="R23" s="48">
        <f aca="true" t="shared" si="3" ref="R23:R38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83" t="s">
        <v>65</v>
      </c>
      <c r="G25" s="46" t="s">
        <v>28</v>
      </c>
      <c r="H25" s="32">
        <v>839000</v>
      </c>
      <c r="I25" s="32"/>
      <c r="J25" s="32">
        <f>120000+120000+120000+120000+120000+120000+119000</f>
        <v>839000</v>
      </c>
      <c r="K25" s="53">
        <f t="shared" si="0"/>
        <v>0</v>
      </c>
      <c r="L25" s="47">
        <f t="shared" si="1"/>
        <v>0</v>
      </c>
      <c r="M25" s="7"/>
      <c r="N25" s="7">
        <v>71.06</v>
      </c>
      <c r="O25" s="181">
        <f>63.04+52.2+45.62+35.1+25.56+14.71+5.87</f>
        <v>242.10000000000002</v>
      </c>
      <c r="P25" s="7">
        <f>71.06+63.04+52.2+45.62+35.1+25.56+14.71+5.87</f>
        <v>313.16</v>
      </c>
      <c r="Q25" s="6">
        <f t="shared" si="2"/>
        <v>0</v>
      </c>
      <c r="R25" s="48">
        <f t="shared" si="3"/>
        <v>0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83" t="s">
        <v>65</v>
      </c>
      <c r="G26" s="46" t="s">
        <v>28</v>
      </c>
      <c r="H26" s="32">
        <v>2184000</v>
      </c>
      <c r="I26" s="32"/>
      <c r="J26" s="32">
        <f>312000+312000+312000+312000+312000+312000+312000</f>
        <v>2184000</v>
      </c>
      <c r="K26" s="53">
        <f t="shared" si="0"/>
        <v>0</v>
      </c>
      <c r="L26" s="47">
        <f t="shared" si="1"/>
        <v>0</v>
      </c>
      <c r="M26" s="7"/>
      <c r="N26" s="7">
        <v>184.98</v>
      </c>
      <c r="O26" s="181">
        <f>164.12+135.92+118.82+91.47+66.67+38.46+15.39</f>
        <v>630.8499999999999</v>
      </c>
      <c r="P26" s="7">
        <f>184.98+164.12+135.92+118.82+91.47+66.67+38.46+15.39</f>
        <v>815.8299999999999</v>
      </c>
      <c r="Q26" s="6">
        <f t="shared" si="2"/>
        <v>0</v>
      </c>
      <c r="R26" s="48">
        <f t="shared" si="3"/>
        <v>0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183" t="s">
        <v>112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160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183" t="s">
        <v>112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160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183" t="s">
        <v>113</v>
      </c>
      <c r="G29" s="46" t="s">
        <v>28</v>
      </c>
      <c r="H29" s="32">
        <v>7107000</v>
      </c>
      <c r="I29" s="167">
        <f>-(5523000+1584000)</f>
        <v>-7107000</v>
      </c>
      <c r="J29" s="32"/>
      <c r="K29" s="53">
        <f t="shared" si="0"/>
        <v>0</v>
      </c>
      <c r="L29" s="160">
        <f t="shared" si="1"/>
        <v>0</v>
      </c>
      <c r="M29" s="7"/>
      <c r="N29" s="7">
        <v>4471.68</v>
      </c>
      <c r="O29" s="5">
        <f>4483.94</f>
        <v>4483.94</v>
      </c>
      <c r="P29" s="7">
        <f>4471.68+4483.94</f>
        <v>8955.619999999999</v>
      </c>
      <c r="Q29" s="6">
        <f t="shared" si="2"/>
        <v>0</v>
      </c>
      <c r="R29" s="48">
        <f t="shared" si="3"/>
        <v>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83" t="s">
        <v>113</v>
      </c>
      <c r="G30" s="166"/>
      <c r="H30" s="167"/>
      <c r="I30" s="167">
        <v>5523000</v>
      </c>
      <c r="J30" s="167"/>
      <c r="K30" s="168">
        <f t="shared" si="0"/>
        <v>5523000</v>
      </c>
      <c r="L30" s="160">
        <f t="shared" si="1"/>
        <v>5523000</v>
      </c>
      <c r="M30" s="169"/>
      <c r="N30" s="169"/>
      <c r="O30" s="170"/>
      <c r="P30" s="169"/>
      <c r="Q30" s="6">
        <f t="shared" si="2"/>
        <v>0</v>
      </c>
      <c r="R30" s="48">
        <f t="shared" si="3"/>
        <v>5523000</v>
      </c>
      <c r="S30" s="171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5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183"/>
      <c r="G31" s="46" t="s">
        <v>28</v>
      </c>
      <c r="H31" s="32">
        <v>5055000</v>
      </c>
      <c r="I31" s="167">
        <f>-(2723000+2332000)</f>
        <v>-5055000</v>
      </c>
      <c r="J31" s="32"/>
      <c r="K31" s="53">
        <f t="shared" si="0"/>
        <v>0</v>
      </c>
      <c r="L31" s="160">
        <f t="shared" si="1"/>
        <v>0</v>
      </c>
      <c r="M31" s="7"/>
      <c r="N31" s="7">
        <v>6583.31</v>
      </c>
      <c r="O31" s="5">
        <f>6601.35</f>
        <v>6601.35</v>
      </c>
      <c r="P31" s="7">
        <f>6583.31+6601.35</f>
        <v>13184.66</v>
      </c>
      <c r="Q31" s="6">
        <f t="shared" si="2"/>
        <v>0</v>
      </c>
      <c r="R31" s="48">
        <f t="shared" si="3"/>
        <v>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73" customFormat="1" ht="66.75" customHeight="1">
      <c r="A32" s="161"/>
      <c r="B32" s="162"/>
      <c r="C32" s="163" t="s">
        <v>103</v>
      </c>
      <c r="D32" s="163"/>
      <c r="E32" s="164"/>
      <c r="F32" s="183" t="s">
        <v>113</v>
      </c>
      <c r="G32" s="166"/>
      <c r="H32" s="167"/>
      <c r="I32" s="167">
        <v>2723000</v>
      </c>
      <c r="J32" s="167"/>
      <c r="K32" s="168">
        <f t="shared" si="0"/>
        <v>2723000</v>
      </c>
      <c r="L32" s="160">
        <f t="shared" si="1"/>
        <v>2723000</v>
      </c>
      <c r="M32" s="169"/>
      <c r="N32" s="169"/>
      <c r="O32" s="170"/>
      <c r="P32" s="169"/>
      <c r="Q32" s="6">
        <f t="shared" si="2"/>
        <v>0</v>
      </c>
      <c r="R32" s="48">
        <f t="shared" si="3"/>
        <v>2723000</v>
      </c>
      <c r="S32" s="171"/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183">
        <v>42972</v>
      </c>
      <c r="G33" s="46" t="s">
        <v>28</v>
      </c>
      <c r="H33" s="32">
        <v>6000000</v>
      </c>
      <c r="I33" s="32">
        <v>-6000000</v>
      </c>
      <c r="J33" s="32"/>
      <c r="K33" s="53">
        <f t="shared" si="0"/>
        <v>0</v>
      </c>
      <c r="L33" s="160">
        <f t="shared" si="1"/>
        <v>0</v>
      </c>
      <c r="M33" s="7"/>
      <c r="N33" s="7">
        <v>16938.2</v>
      </c>
      <c r="O33" s="5">
        <f>16984.6</f>
        <v>16984.6</v>
      </c>
      <c r="P33" s="94">
        <f>16938.2+16984.6</f>
        <v>33922.8</v>
      </c>
      <c r="Q33" s="6">
        <f t="shared" si="2"/>
        <v>0</v>
      </c>
      <c r="R33" s="48">
        <f t="shared" si="3"/>
        <v>0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184">
        <v>43064</v>
      </c>
      <c r="G34" s="133" t="s">
        <v>28</v>
      </c>
      <c r="H34" s="6">
        <v>10000000</v>
      </c>
      <c r="I34" s="6">
        <v>-10000000</v>
      </c>
      <c r="J34" s="6"/>
      <c r="K34" s="47">
        <f t="shared" si="0"/>
        <v>0</v>
      </c>
      <c r="L34" s="160">
        <f t="shared" si="1"/>
        <v>0</v>
      </c>
      <c r="M34" s="7"/>
      <c r="N34" s="7">
        <v>28230.33</v>
      </c>
      <c r="O34" s="134">
        <f>28307.67</f>
        <v>28307.67</v>
      </c>
      <c r="P34" s="135">
        <f>28230.33+28307.67</f>
        <v>56538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183">
        <v>43240</v>
      </c>
      <c r="G35" s="133" t="s">
        <v>28</v>
      </c>
      <c r="H35" s="32">
        <v>10000000</v>
      </c>
      <c r="I35" s="44"/>
      <c r="J35" s="32"/>
      <c r="K35" s="47">
        <f t="shared" si="0"/>
        <v>10000000</v>
      </c>
      <c r="L35" s="47">
        <f t="shared" si="1"/>
        <v>10000000</v>
      </c>
      <c r="M35" s="4"/>
      <c r="N35" s="4">
        <v>28230.33</v>
      </c>
      <c r="O35" s="181">
        <f>28307.67+25568.22+28193.97+26712.33+26230.14+8699.18+25479.45+25479.45+24062.74</f>
        <v>218733.15000000002</v>
      </c>
      <c r="P35" s="94">
        <f>28230.33+28307.67+25568.22+28193.97+26712.33+26230.14+8699.18+25479.45+25479.45</f>
        <v>222900.74000000005</v>
      </c>
      <c r="Q35" s="6">
        <f t="shared" si="2"/>
        <v>24062.73999999999</v>
      </c>
      <c r="R35" s="48">
        <f t="shared" si="3"/>
        <v>10024062.74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>
        <v>42359</v>
      </c>
      <c r="G36" s="46" t="s">
        <v>28</v>
      </c>
      <c r="H36" s="32">
        <v>0</v>
      </c>
      <c r="I36" s="44"/>
      <c r="J36" s="32"/>
      <c r="K36" s="53">
        <f t="shared" si="0"/>
        <v>0</v>
      </c>
      <c r="L36" s="53">
        <f t="shared" si="1"/>
        <v>0</v>
      </c>
      <c r="M36" s="4"/>
      <c r="N36" s="4"/>
      <c r="O36" s="5">
        <v>0</v>
      </c>
      <c r="P36" s="94"/>
      <c r="Q36" s="6"/>
      <c r="R36" s="48">
        <f t="shared" si="3"/>
        <v>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183" t="s">
        <v>60</v>
      </c>
      <c r="G37" s="46" t="s">
        <v>28</v>
      </c>
      <c r="H37" s="138">
        <v>6500000</v>
      </c>
      <c r="I37" s="137"/>
      <c r="J37" s="138"/>
      <c r="K37" s="53">
        <f t="shared" si="0"/>
        <v>6500000</v>
      </c>
      <c r="L37" s="53">
        <f t="shared" si="1"/>
        <v>6500000</v>
      </c>
      <c r="M37" s="139"/>
      <c r="N37" s="139">
        <v>18349.71</v>
      </c>
      <c r="O37" s="181">
        <f>18399.99+16619.34+18326.09+17363.01+17049.59+16293.45+16561.64+16561.64+15640.78</f>
        <v>152815.53</v>
      </c>
      <c r="P37" s="140">
        <f>18349.71+18399.99+16619.34+18326.09+17363.01+17049.59+16293.45+16561.64+16561.64</f>
        <v>155524.45999999996</v>
      </c>
      <c r="Q37" s="32">
        <f t="shared" si="2"/>
        <v>15640.780000000028</v>
      </c>
      <c r="R37" s="32">
        <f t="shared" si="3"/>
        <v>6515640.78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183" t="s">
        <v>114</v>
      </c>
      <c r="G38" s="46" t="s">
        <v>28</v>
      </c>
      <c r="H38" s="138">
        <v>12400000</v>
      </c>
      <c r="I38" s="137"/>
      <c r="J38" s="138"/>
      <c r="K38" s="153">
        <f t="shared" si="0"/>
        <v>12400000</v>
      </c>
      <c r="L38" s="153">
        <f t="shared" si="1"/>
        <v>12400000</v>
      </c>
      <c r="M38" s="139"/>
      <c r="N38" s="139">
        <v>35005.61</v>
      </c>
      <c r="O38" s="182">
        <f>35101.51+31704.59+35073.32+33010.5+32525.37+31082.9+31594.52+31594.52+29837.8</f>
        <v>291525.02999999997</v>
      </c>
      <c r="P38" s="140">
        <f>35005.61+35101.51+31704.59+35073.32+33010.5+32525.37+31082.9+31594.52+31594.52</f>
        <v>296692.84</v>
      </c>
      <c r="Q38" s="32">
        <f t="shared" si="2"/>
        <v>29837.79999999993</v>
      </c>
      <c r="R38" s="32">
        <f t="shared" si="3"/>
        <v>12429837.799999999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66.75" customHeight="1">
      <c r="A39" s="50"/>
      <c r="B39" s="42" t="s">
        <v>15</v>
      </c>
      <c r="C39" s="52" t="s">
        <v>70</v>
      </c>
      <c r="D39" s="52" t="s">
        <v>34</v>
      </c>
      <c r="E39" s="44">
        <v>24800000</v>
      </c>
      <c r="F39" s="183" t="s">
        <v>71</v>
      </c>
      <c r="G39" s="46" t="s">
        <v>28</v>
      </c>
      <c r="H39" s="138">
        <v>24800000</v>
      </c>
      <c r="I39" s="174">
        <f>-(5756000+7084000)</f>
        <v>-12840000</v>
      </c>
      <c r="J39" s="138"/>
      <c r="K39" s="153">
        <f>H39+I39-J39</f>
        <v>11960000</v>
      </c>
      <c r="L39" s="153">
        <f>K39</f>
        <v>11960000</v>
      </c>
      <c r="M39" s="139"/>
      <c r="N39" s="139">
        <v>70011.21</v>
      </c>
      <c r="O39" s="182">
        <f>70203.02+20027.22+33719.99+31947.95+31371.24+29979.95+30473.42+30473.42+28779.03</f>
        <v>306975.24</v>
      </c>
      <c r="P39" s="140">
        <f>70011.21+70203.02+20027.22+33719.99+31947.95+31371.24+29979.95+30473.42+30473.42</f>
        <v>348207.42</v>
      </c>
      <c r="Q39" s="32">
        <f>N39+O39-P39</f>
        <v>28779.030000000028</v>
      </c>
      <c r="R39" s="32">
        <f>K39+N39+O39-P39</f>
        <v>11988779.030000001</v>
      </c>
      <c r="S39" s="49"/>
      <c r="T39" s="49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66.75" customHeight="1">
      <c r="A40" s="50"/>
      <c r="B40" s="132" t="s">
        <v>15</v>
      </c>
      <c r="C40" s="43" t="s">
        <v>76</v>
      </c>
      <c r="D40" s="43" t="s">
        <v>34</v>
      </c>
      <c r="E40" s="2">
        <v>16000000</v>
      </c>
      <c r="F40" s="184">
        <v>43819</v>
      </c>
      <c r="G40" s="133" t="s">
        <v>28</v>
      </c>
      <c r="H40" s="138">
        <v>16000000</v>
      </c>
      <c r="I40" s="174">
        <v>-4000000</v>
      </c>
      <c r="J40" s="138"/>
      <c r="K40" s="153">
        <f>H40+I40-J40</f>
        <v>12000000</v>
      </c>
      <c r="L40" s="153">
        <f>K40</f>
        <v>12000000</v>
      </c>
      <c r="M40" s="139"/>
      <c r="N40" s="139">
        <v>8742.3</v>
      </c>
      <c r="O40" s="182">
        <f>45292.27+27394.52+33832.77+32054.79+31476.16+30080.22+30575.34+30575.34+28875.28</f>
        <v>290156.69</v>
      </c>
      <c r="P40" s="140">
        <f>8742.3+45292.27+27394.52+33832.77+32054.79+31476.16+30080.22+30575.34+30575.34</f>
        <v>270023.71</v>
      </c>
      <c r="Q40" s="32">
        <f>N40+O40-P40</f>
        <v>28875.27999999997</v>
      </c>
      <c r="R40" s="32">
        <f>K40+N40+O40-P40</f>
        <v>12028875.28</v>
      </c>
      <c r="S40" s="49"/>
      <c r="T40" s="49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66.75" customHeight="1">
      <c r="A41" s="180">
        <v>17</v>
      </c>
      <c r="B41" s="162" t="s">
        <v>15</v>
      </c>
      <c r="C41" s="163" t="s">
        <v>105</v>
      </c>
      <c r="D41" s="163" t="s">
        <v>34</v>
      </c>
      <c r="E41" s="164">
        <v>36756000</v>
      </c>
      <c r="F41" s="183" t="s">
        <v>106</v>
      </c>
      <c r="G41" s="46" t="s">
        <v>28</v>
      </c>
      <c r="H41" s="138"/>
      <c r="I41" s="174">
        <v>36756000</v>
      </c>
      <c r="J41" s="138"/>
      <c r="K41" s="153">
        <f>H41+I41-J41</f>
        <v>36756000</v>
      </c>
      <c r="L41" s="153">
        <f>K41</f>
        <v>36756000</v>
      </c>
      <c r="M41" s="139"/>
      <c r="N41" s="139"/>
      <c r="O41" s="154">
        <v>16011.52</v>
      </c>
      <c r="P41" s="140">
        <f>16011.52</f>
        <v>16011.52</v>
      </c>
      <c r="Q41" s="32">
        <f>N41+O41-P41</f>
        <v>0</v>
      </c>
      <c r="R41" s="32">
        <f>K41+N41+O41-P41</f>
        <v>36756000</v>
      </c>
      <c r="S41" s="49"/>
      <c r="T41" s="49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66.75" customHeight="1">
      <c r="A42" s="180">
        <v>17</v>
      </c>
      <c r="B42" s="162" t="s">
        <v>15</v>
      </c>
      <c r="C42" s="163" t="s">
        <v>107</v>
      </c>
      <c r="D42" s="163" t="s">
        <v>34</v>
      </c>
      <c r="E42" s="164">
        <v>20000000</v>
      </c>
      <c r="F42" s="183">
        <v>43982</v>
      </c>
      <c r="G42" s="46" t="s">
        <v>28</v>
      </c>
      <c r="H42" s="138"/>
      <c r="I42" s="174">
        <v>20000000</v>
      </c>
      <c r="J42" s="138"/>
      <c r="K42" s="153">
        <f>H42+I42-J42</f>
        <v>20000000</v>
      </c>
      <c r="L42" s="153">
        <f>K42</f>
        <v>20000000</v>
      </c>
      <c r="M42" s="139"/>
      <c r="N42" s="139"/>
      <c r="O42" s="154">
        <v>16438.36</v>
      </c>
      <c r="P42" s="140">
        <f>16438.36</f>
        <v>16438.36</v>
      </c>
      <c r="Q42" s="32">
        <f>N42+O42-P42</f>
        <v>0</v>
      </c>
      <c r="R42" s="32">
        <f>K42+N42+O42-P42</f>
        <v>20000000</v>
      </c>
      <c r="S42" s="49"/>
      <c r="T42" s="49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66.75" customHeight="1">
      <c r="A43" s="180">
        <v>17</v>
      </c>
      <c r="B43" s="162" t="s">
        <v>15</v>
      </c>
      <c r="C43" s="163" t="s">
        <v>119</v>
      </c>
      <c r="D43" s="163" t="s">
        <v>34</v>
      </c>
      <c r="E43" s="164">
        <v>1400000</v>
      </c>
      <c r="F43" s="183">
        <v>44032</v>
      </c>
      <c r="G43" s="46" t="s">
        <v>28</v>
      </c>
      <c r="H43" s="138"/>
      <c r="I43" s="174">
        <v>1400000</v>
      </c>
      <c r="J43" s="138"/>
      <c r="K43" s="153">
        <f>H43+I43-J43</f>
        <v>1400000</v>
      </c>
      <c r="L43" s="153">
        <f>K43</f>
        <v>1400000</v>
      </c>
      <c r="M43" s="139"/>
      <c r="N43" s="139"/>
      <c r="O43" s="154">
        <v>0</v>
      </c>
      <c r="P43" s="140">
        <v>0</v>
      </c>
      <c r="Q43" s="32">
        <f>N43+O43-P43</f>
        <v>0</v>
      </c>
      <c r="R43" s="32">
        <f>K43+N43+O43-P43</f>
        <v>1400000</v>
      </c>
      <c r="S43" s="49"/>
      <c r="T43" s="49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.75" customHeight="1" thickBot="1">
      <c r="A44" s="95" t="s">
        <v>21</v>
      </c>
      <c r="B44" s="18"/>
      <c r="C44" s="18"/>
      <c r="D44" s="96"/>
      <c r="E44" s="97"/>
      <c r="F44" s="98"/>
      <c r="G44" s="98"/>
      <c r="H44" s="136">
        <f>H23+H24+H25+H26+H27+H28+H29+H31+H33+H34+H35+H36+H37+H38+H39+H40+H30+H32+H41+H42+H43</f>
        <v>107985000</v>
      </c>
      <c r="I44" s="136">
        <f aca="true" t="shared" si="4" ref="I44:R44">I23+I24+I25+I26+I27+I28+I29+I31+I33+I34+I35+I36+I37+I38+I39+I40+I30+I32+I41+I42+I43</f>
        <v>21400000</v>
      </c>
      <c r="J44" s="136">
        <f t="shared" si="4"/>
        <v>3023000</v>
      </c>
      <c r="K44" s="136">
        <f t="shared" si="4"/>
        <v>126362000</v>
      </c>
      <c r="L44" s="136">
        <f t="shared" si="4"/>
        <v>126362000</v>
      </c>
      <c r="M44" s="136">
        <f t="shared" si="4"/>
        <v>0</v>
      </c>
      <c r="N44" s="136">
        <f t="shared" si="4"/>
        <v>216818.72000000003</v>
      </c>
      <c r="O44" s="136">
        <f t="shared" si="4"/>
        <v>1349906.03</v>
      </c>
      <c r="P44" s="136">
        <f t="shared" si="4"/>
        <v>1439529.12</v>
      </c>
      <c r="Q44" s="136">
        <f t="shared" si="4"/>
        <v>127195.62999999995</v>
      </c>
      <c r="R44" s="136">
        <f t="shared" si="4"/>
        <v>126489195.63</v>
      </c>
      <c r="S44" s="136">
        <f>S23+S24+S25+S26+S27+S28+S29+S31+S33+S34+S35+S36+S37+S38+S39+S40</f>
        <v>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19" ht="16.5" customHeight="1" thickBot="1">
      <c r="A45" s="141" t="s">
        <v>19</v>
      </c>
      <c r="B45" s="142" t="s">
        <v>23</v>
      </c>
      <c r="C45" s="142"/>
      <c r="D45" s="142"/>
      <c r="E45" s="142"/>
      <c r="F45" s="142"/>
      <c r="G45" s="20"/>
      <c r="H45" s="10"/>
      <c r="I45" s="10"/>
      <c r="J45" s="10"/>
      <c r="K45" s="10"/>
      <c r="L45" s="99"/>
      <c r="M45" s="10"/>
      <c r="N45" s="10"/>
      <c r="O45" s="10"/>
      <c r="P45" s="146"/>
      <c r="Q45" s="10"/>
      <c r="R45" s="147"/>
      <c r="S45" s="25"/>
    </row>
    <row r="46" spans="1:19" ht="69" customHeight="1">
      <c r="A46" s="144">
        <v>1</v>
      </c>
      <c r="B46" s="42" t="s">
        <v>23</v>
      </c>
      <c r="C46" s="145" t="s">
        <v>57</v>
      </c>
      <c r="D46" s="132" t="s">
        <v>58</v>
      </c>
      <c r="E46" s="17">
        <v>9000000</v>
      </c>
      <c r="F46" s="132" t="s">
        <v>63</v>
      </c>
      <c r="G46" s="133" t="s">
        <v>28</v>
      </c>
      <c r="H46" s="7">
        <v>9000000</v>
      </c>
      <c r="I46" s="159"/>
      <c r="J46" s="7">
        <v>9000000</v>
      </c>
      <c r="K46" s="6">
        <f>H46+I46-J46</f>
        <v>0</v>
      </c>
      <c r="L46" s="6">
        <f>K46</f>
        <v>0</v>
      </c>
      <c r="M46" s="3"/>
      <c r="N46" s="3">
        <v>0</v>
      </c>
      <c r="O46" s="3">
        <f>133767.12+120821.92-4315.07</f>
        <v>250273.96999999997</v>
      </c>
      <c r="P46" s="17">
        <f>133767.12+120821.92-4315.07</f>
        <v>250273.96999999997</v>
      </c>
      <c r="Q46" s="6">
        <f>N46+O46-P46</f>
        <v>0</v>
      </c>
      <c r="R46" s="6">
        <f>K46+N46+O46-P46</f>
        <v>0</v>
      </c>
      <c r="S46" s="25"/>
    </row>
    <row r="47" spans="1:19" ht="69" customHeight="1">
      <c r="A47" s="152">
        <v>2</v>
      </c>
      <c r="B47" s="42" t="s">
        <v>23</v>
      </c>
      <c r="C47" s="145" t="s">
        <v>61</v>
      </c>
      <c r="D47" s="132" t="s">
        <v>58</v>
      </c>
      <c r="E47" s="17">
        <v>5000000</v>
      </c>
      <c r="F47" s="132" t="s">
        <v>62</v>
      </c>
      <c r="G47" s="133" t="s">
        <v>28</v>
      </c>
      <c r="H47" s="7"/>
      <c r="I47" s="159"/>
      <c r="J47" s="7"/>
      <c r="K47" s="6">
        <f>H47+I47-J47</f>
        <v>0</v>
      </c>
      <c r="L47" s="6">
        <f>K47</f>
        <v>0</v>
      </c>
      <c r="M47" s="3"/>
      <c r="N47" s="3">
        <v>0</v>
      </c>
      <c r="O47" s="17"/>
      <c r="P47" s="17"/>
      <c r="Q47" s="6">
        <f>N47+O47-P47</f>
        <v>0</v>
      </c>
      <c r="R47" s="6">
        <f>K47+N47+O47-P47</f>
        <v>0</v>
      </c>
      <c r="S47" s="25"/>
    </row>
    <row r="48" spans="1:19" ht="69" customHeight="1">
      <c r="A48" s="152">
        <v>3</v>
      </c>
      <c r="B48" s="42" t="s">
        <v>23</v>
      </c>
      <c r="C48" s="145" t="s">
        <v>68</v>
      </c>
      <c r="D48" s="132" t="s">
        <v>58</v>
      </c>
      <c r="E48" s="17"/>
      <c r="F48" s="132" t="s">
        <v>80</v>
      </c>
      <c r="G48" s="133" t="s">
        <v>28</v>
      </c>
      <c r="H48" s="159">
        <v>10000000</v>
      </c>
      <c r="I48" s="159"/>
      <c r="J48" s="159">
        <v>10000000</v>
      </c>
      <c r="K48" s="6">
        <f>H48+I48-J48</f>
        <v>0</v>
      </c>
      <c r="L48" s="6">
        <f>K48</f>
        <v>0</v>
      </c>
      <c r="M48" s="3"/>
      <c r="N48" s="3">
        <v>0</v>
      </c>
      <c r="O48" s="3">
        <f>148630.14+134246.58</f>
        <v>282876.72</v>
      </c>
      <c r="P48" s="17">
        <f>148630.14+134246.58</f>
        <v>282876.72</v>
      </c>
      <c r="Q48" s="6">
        <f>N48+O48-P48</f>
        <v>0</v>
      </c>
      <c r="R48" s="6">
        <f>K48+N48+O48-P48</f>
        <v>0</v>
      </c>
      <c r="S48" s="25"/>
    </row>
    <row r="49" spans="1:19" ht="69" customHeight="1">
      <c r="A49" s="152">
        <v>4</v>
      </c>
      <c r="B49" s="42" t="s">
        <v>23</v>
      </c>
      <c r="C49" s="145" t="s">
        <v>77</v>
      </c>
      <c r="D49" s="132" t="s">
        <v>58</v>
      </c>
      <c r="E49" s="17"/>
      <c r="F49" s="158">
        <v>43439</v>
      </c>
      <c r="G49" s="133"/>
      <c r="H49" s="159">
        <v>8000000</v>
      </c>
      <c r="I49" s="159"/>
      <c r="J49" s="159">
        <v>8000000</v>
      </c>
      <c r="K49" s="6">
        <f>H49+I49-J49</f>
        <v>0</v>
      </c>
      <c r="L49" s="6">
        <f>K49</f>
        <v>0</v>
      </c>
      <c r="M49" s="3"/>
      <c r="N49" s="3"/>
      <c r="O49" s="3">
        <f>105315.07+95123.29</f>
        <v>200438.36</v>
      </c>
      <c r="P49" s="17">
        <f>105315.07+95123.29</f>
        <v>200438.36</v>
      </c>
      <c r="Q49" s="6">
        <f>N49+O49-P49</f>
        <v>0</v>
      </c>
      <c r="R49" s="6">
        <f>K49+N49+O49-P49</f>
        <v>0</v>
      </c>
      <c r="S49" s="25"/>
    </row>
    <row r="50" spans="1:19" ht="16.5" customHeight="1" thickBot="1">
      <c r="A50" s="95" t="s">
        <v>21</v>
      </c>
      <c r="B50" s="143"/>
      <c r="C50" s="143"/>
      <c r="D50" s="14"/>
      <c r="E50" s="14"/>
      <c r="F50" s="14"/>
      <c r="G50" s="14"/>
      <c r="H50" s="4">
        <f>H46+H47+H48+H49</f>
        <v>27000000</v>
      </c>
      <c r="I50" s="4">
        <f aca="true" t="shared" si="5" ref="I50:R50">I46+I47+I48+I49</f>
        <v>0</v>
      </c>
      <c r="J50" s="4">
        <f t="shared" si="5"/>
        <v>27000000</v>
      </c>
      <c r="K50" s="1">
        <f t="shared" si="5"/>
        <v>0</v>
      </c>
      <c r="L50" s="1">
        <f t="shared" si="5"/>
        <v>0</v>
      </c>
      <c r="M50" s="1">
        <f t="shared" si="5"/>
        <v>0</v>
      </c>
      <c r="N50" s="1">
        <f t="shared" si="5"/>
        <v>0</v>
      </c>
      <c r="O50" s="1">
        <f t="shared" si="5"/>
        <v>733589.0499999999</v>
      </c>
      <c r="P50" s="1">
        <f t="shared" si="5"/>
        <v>733589.0499999999</v>
      </c>
      <c r="Q50" s="1">
        <f t="shared" si="5"/>
        <v>0</v>
      </c>
      <c r="R50" s="1">
        <f t="shared" si="5"/>
        <v>0</v>
      </c>
      <c r="S50" s="1">
        <f>S46+S47+S48</f>
        <v>0</v>
      </c>
    </row>
    <row r="51" spans="1:35" s="83" customFormat="1" ht="18" customHeight="1" thickBot="1">
      <c r="A51" s="101" t="s">
        <v>5</v>
      </c>
      <c r="B51" s="102" t="s">
        <v>22</v>
      </c>
      <c r="C51" s="102"/>
      <c r="D51" s="148"/>
      <c r="E51" s="148"/>
      <c r="F51" s="148"/>
      <c r="G51" s="148"/>
      <c r="H51" s="148"/>
      <c r="I51" s="143"/>
      <c r="J51" s="143"/>
      <c r="K51" s="143"/>
      <c r="L51" s="143"/>
      <c r="M51" s="143"/>
      <c r="N51" s="143"/>
      <c r="O51" s="143"/>
      <c r="P51" s="151"/>
      <c r="Q51" s="143"/>
      <c r="R51" s="149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35" s="83" customFormat="1" ht="69.75" customHeight="1" hidden="1">
      <c r="A52" s="101"/>
      <c r="B52" s="103"/>
      <c r="C52" s="104"/>
      <c r="D52" s="104"/>
      <c r="E52" s="105"/>
      <c r="F52" s="104"/>
      <c r="G52" s="46"/>
      <c r="H52" s="62"/>
      <c r="I52" s="62"/>
      <c r="J52" s="33"/>
      <c r="K52" s="62"/>
      <c r="L52" s="32"/>
      <c r="M52" s="21"/>
      <c r="N52" s="21"/>
      <c r="O52" s="21"/>
      <c r="P52" s="150"/>
      <c r="Q52" s="62"/>
      <c r="R52" s="62"/>
      <c r="S52" s="82"/>
      <c r="T52" s="106"/>
      <c r="U52" s="106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</row>
    <row r="53" spans="1:35" s="83" customFormat="1" ht="18" customHeight="1" thickBot="1">
      <c r="A53" s="107" t="s">
        <v>21</v>
      </c>
      <c r="B53" s="108"/>
      <c r="C53" s="109"/>
      <c r="D53" s="109"/>
      <c r="E53" s="110"/>
      <c r="F53" s="111"/>
      <c r="G53" s="104"/>
      <c r="H53" s="34">
        <f>H52</f>
        <v>0</v>
      </c>
      <c r="I53" s="34">
        <f>I52</f>
        <v>0</v>
      </c>
      <c r="J53" s="34">
        <f>J52</f>
        <v>0</v>
      </c>
      <c r="K53" s="34">
        <f>K52</f>
        <v>0</v>
      </c>
      <c r="L53" s="34">
        <f>L52</f>
        <v>0</v>
      </c>
      <c r="M53" s="22">
        <v>3</v>
      </c>
      <c r="N53" s="22">
        <v>0</v>
      </c>
      <c r="O53" s="22">
        <v>0</v>
      </c>
      <c r="P53" s="22">
        <v>0</v>
      </c>
      <c r="Q53" s="34">
        <f>K53</f>
        <v>0</v>
      </c>
      <c r="R53" s="34">
        <f>Q53</f>
        <v>0</v>
      </c>
      <c r="S53" s="82"/>
      <c r="T53" s="11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</row>
    <row r="54" spans="1:20" ht="16.5" customHeight="1" thickBot="1">
      <c r="A54" s="113"/>
      <c r="B54" s="20" t="s">
        <v>16</v>
      </c>
      <c r="C54" s="19"/>
      <c r="D54" s="19"/>
      <c r="E54" s="19"/>
      <c r="F54" s="100"/>
      <c r="G54" s="114"/>
      <c r="H54" s="23">
        <f>H44+H52+H50</f>
        <v>134985000</v>
      </c>
      <c r="I54" s="23">
        <f aca="true" t="shared" si="6" ref="I54:R54">I44+I52+I50</f>
        <v>21400000</v>
      </c>
      <c r="J54" s="23">
        <f t="shared" si="6"/>
        <v>30023000</v>
      </c>
      <c r="K54" s="23">
        <f>K44+K52+K50</f>
        <v>126362000</v>
      </c>
      <c r="L54" s="23">
        <f t="shared" si="6"/>
        <v>126362000</v>
      </c>
      <c r="M54" s="23">
        <f t="shared" si="6"/>
        <v>0</v>
      </c>
      <c r="N54" s="23">
        <f t="shared" si="6"/>
        <v>216818.72000000003</v>
      </c>
      <c r="O54" s="23">
        <f t="shared" si="6"/>
        <v>2083495.08</v>
      </c>
      <c r="P54" s="23">
        <f t="shared" si="6"/>
        <v>2173118.17</v>
      </c>
      <c r="Q54" s="23">
        <f t="shared" si="6"/>
        <v>127195.62999999995</v>
      </c>
      <c r="R54" s="23">
        <f t="shared" si="6"/>
        <v>126489195.63</v>
      </c>
      <c r="S54" s="25"/>
      <c r="T54" s="115"/>
    </row>
    <row r="55" spans="1:19" ht="16.5" customHeight="1">
      <c r="A55" s="25"/>
      <c r="B55" s="82"/>
      <c r="C55" s="10"/>
      <c r="D55" s="10"/>
      <c r="E55" s="10"/>
      <c r="F55" s="10"/>
      <c r="G55" s="10"/>
      <c r="H55" s="24"/>
      <c r="I55" s="24"/>
      <c r="J55" s="24"/>
      <c r="K55" s="24"/>
      <c r="L55" s="24"/>
      <c r="M55" s="40"/>
      <c r="N55" s="24"/>
      <c r="O55" s="24"/>
      <c r="P55" s="24"/>
      <c r="Q55" s="24"/>
      <c r="R55" s="24"/>
      <c r="S55" s="25"/>
    </row>
    <row r="56" spans="1:19" ht="16.5" customHeight="1">
      <c r="A56" s="25"/>
      <c r="B56" s="10" t="s">
        <v>36</v>
      </c>
      <c r="C56" s="10"/>
      <c r="D56" s="10"/>
      <c r="E56" s="10"/>
      <c r="F56" s="10"/>
      <c r="G56" s="10"/>
      <c r="H56" s="24" t="s">
        <v>45</v>
      </c>
      <c r="I56" s="24"/>
      <c r="J56" s="24"/>
      <c r="K56" s="24"/>
      <c r="L56" s="24"/>
      <c r="M56" s="40"/>
      <c r="N56" s="24"/>
      <c r="O56" s="24"/>
      <c r="P56" s="40"/>
      <c r="Q56" s="24"/>
      <c r="R56" s="24"/>
      <c r="S56" s="25"/>
    </row>
    <row r="57" spans="1:19" ht="16.5" customHeight="1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4"/>
      <c r="Q57" s="10"/>
      <c r="R57" s="10"/>
      <c r="S57" s="25"/>
    </row>
    <row r="58" spans="1:19" ht="15.75" customHeight="1">
      <c r="A58" s="25"/>
      <c r="B58" s="10" t="s">
        <v>27</v>
      </c>
      <c r="C58" s="10"/>
      <c r="D58" s="116"/>
      <c r="E58" s="117"/>
      <c r="F58" s="117"/>
      <c r="G58" s="117"/>
      <c r="H58" s="35" t="s">
        <v>67</v>
      </c>
      <c r="I58" s="35"/>
      <c r="J58" s="35"/>
      <c r="K58" s="35"/>
      <c r="L58" s="35"/>
      <c r="M58" s="10"/>
      <c r="N58" s="10"/>
      <c r="O58" s="10"/>
      <c r="P58" s="10"/>
      <c r="Q58" s="10"/>
      <c r="R58" s="10"/>
      <c r="S58" s="25"/>
    </row>
    <row r="59" spans="1:19" ht="15.75" customHeight="1">
      <c r="A59" s="25"/>
      <c r="B59" s="10" t="s">
        <v>26</v>
      </c>
      <c r="C59" s="10"/>
      <c r="D59" s="116"/>
      <c r="E59" s="117"/>
      <c r="F59" s="117"/>
      <c r="G59" s="117"/>
      <c r="H59" s="35"/>
      <c r="I59" s="35"/>
      <c r="J59" s="35"/>
      <c r="K59" s="118"/>
      <c r="L59" s="118"/>
      <c r="M59" s="10"/>
      <c r="N59" s="10"/>
      <c r="O59" s="10"/>
      <c r="P59" s="10"/>
      <c r="Q59" s="10"/>
      <c r="R59" s="10"/>
      <c r="S59" s="25"/>
    </row>
    <row r="60" spans="1:19" ht="12.75">
      <c r="A60" s="25"/>
      <c r="B60" s="10"/>
      <c r="C60" s="10"/>
      <c r="D60" s="39"/>
      <c r="E60" s="10"/>
      <c r="F60" s="10"/>
      <c r="G60" s="10"/>
      <c r="H60" s="36"/>
      <c r="I60" s="36"/>
      <c r="J60" s="36"/>
      <c r="K60" s="36"/>
      <c r="L60" s="36"/>
      <c r="M60" s="10"/>
      <c r="N60" s="10"/>
      <c r="O60" s="10"/>
      <c r="P60" s="10"/>
      <c r="Q60" s="10"/>
      <c r="R60" s="10"/>
      <c r="S60" s="25"/>
    </row>
    <row r="61" spans="1:19" ht="0.75" customHeight="1">
      <c r="A61" s="25"/>
      <c r="B61" s="10"/>
      <c r="C61" s="10"/>
      <c r="D61" s="39"/>
      <c r="E61" s="10"/>
      <c r="F61" s="10"/>
      <c r="G61" s="10"/>
      <c r="H61" s="119"/>
      <c r="I61" s="36"/>
      <c r="J61" s="36"/>
      <c r="K61" s="36"/>
      <c r="L61" s="36"/>
      <c r="M61" s="10"/>
      <c r="N61" s="10"/>
      <c r="O61" s="10"/>
      <c r="P61" s="10"/>
      <c r="Q61" s="10"/>
      <c r="R61" s="10"/>
      <c r="S61" s="25"/>
    </row>
    <row r="62" spans="1:19" ht="14.25" customHeight="1" hidden="1">
      <c r="A62" s="25"/>
      <c r="B62" s="10"/>
      <c r="C62" s="10"/>
      <c r="D62" s="39"/>
      <c r="E62" s="10"/>
      <c r="F62" s="10"/>
      <c r="G62" s="10"/>
      <c r="H62" s="36"/>
      <c r="I62" s="36"/>
      <c r="J62" s="36"/>
      <c r="K62" s="36"/>
      <c r="L62" s="36"/>
      <c r="M62" s="10"/>
      <c r="N62" s="10"/>
      <c r="O62" s="10"/>
      <c r="P62" s="10"/>
      <c r="Q62" s="10"/>
      <c r="R62" s="10"/>
      <c r="S62" s="25"/>
    </row>
    <row r="63" spans="1:19" ht="13.5" customHeight="1" hidden="1">
      <c r="A63" s="25"/>
      <c r="B63" s="10"/>
      <c r="C63" s="10"/>
      <c r="D63" s="10"/>
      <c r="E63" s="10"/>
      <c r="F63" s="10"/>
      <c r="G63" s="10"/>
      <c r="H63" s="37"/>
      <c r="I63" s="37"/>
      <c r="J63" s="37"/>
      <c r="K63" s="37"/>
      <c r="L63" s="37"/>
      <c r="M63" s="10"/>
      <c r="N63" s="10"/>
      <c r="O63" s="10"/>
      <c r="P63" s="10"/>
      <c r="Q63" s="10"/>
      <c r="R63" s="10"/>
      <c r="S63" s="25"/>
    </row>
    <row r="64" spans="2:18" s="25" customFormat="1" ht="12.75" customHeight="1">
      <c r="B64" s="10" t="s">
        <v>14</v>
      </c>
      <c r="C64" s="39"/>
      <c r="D64" s="120"/>
      <c r="E64" s="121"/>
      <c r="F64" s="10"/>
      <c r="G64" s="10"/>
      <c r="H64" s="37"/>
      <c r="I64" s="37"/>
      <c r="J64" s="37"/>
      <c r="K64" s="37"/>
      <c r="L64" s="37"/>
      <c r="M64" s="10"/>
      <c r="N64" s="10"/>
      <c r="O64" s="10"/>
      <c r="P64" s="10"/>
      <c r="Q64" s="10"/>
      <c r="R64" s="10"/>
    </row>
    <row r="65" spans="1:18" s="25" customFormat="1" ht="9.75" customHeight="1">
      <c r="A65" s="122"/>
      <c r="B65" s="123" t="s">
        <v>20</v>
      </c>
      <c r="C65" s="10"/>
      <c r="D65" s="10"/>
      <c r="E65" s="124"/>
      <c r="F65" s="124"/>
      <c r="G65" s="125"/>
      <c r="H65" s="38"/>
      <c r="I65" s="38"/>
      <c r="J65" s="38"/>
      <c r="K65" s="38"/>
      <c r="L65" s="38"/>
      <c r="M65" s="10"/>
      <c r="N65" s="10"/>
      <c r="O65" s="10"/>
      <c r="P65" s="10"/>
      <c r="Q65" s="10"/>
      <c r="R65" s="10"/>
    </row>
    <row r="66" spans="2:18" s="25" customFormat="1" ht="12.75">
      <c r="B66" s="39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38"/>
      <c r="G68" s="38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38"/>
      <c r="F69" s="38"/>
      <c r="G69" s="38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38"/>
      <c r="F70" s="126"/>
      <c r="G70" s="126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1:18" s="25" customFormat="1" ht="18.75">
      <c r="A71" s="122"/>
      <c r="B71" s="122"/>
      <c r="C71" s="127"/>
      <c r="D71" s="127"/>
      <c r="E71" s="127"/>
      <c r="F71" s="127"/>
      <c r="G71" s="127"/>
      <c r="H71" s="39"/>
      <c r="I71" s="39"/>
      <c r="J71" s="39"/>
      <c r="K71" s="39"/>
      <c r="L71" s="39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38"/>
      <c r="F72" s="38"/>
      <c r="G72" s="38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38"/>
      <c r="F73" s="38"/>
      <c r="G73" s="38"/>
      <c r="H73" s="35"/>
      <c r="I73" s="35"/>
      <c r="J73" s="35"/>
      <c r="K73" s="35"/>
      <c r="L73" s="35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38"/>
      <c r="F74" s="38"/>
      <c r="G74" s="38"/>
      <c r="H74" s="35"/>
      <c r="I74" s="35"/>
      <c r="J74" s="35"/>
      <c r="K74" s="35"/>
      <c r="L74" s="35"/>
      <c r="M74" s="10"/>
      <c r="N74" s="10"/>
      <c r="O74" s="10"/>
      <c r="P74" s="10"/>
      <c r="Q74" s="10"/>
      <c r="R74" s="10"/>
    </row>
    <row r="75" spans="1:18" s="25" customFormat="1" ht="18.75">
      <c r="A75" s="128"/>
      <c r="B75" s="10"/>
      <c r="C75" s="10"/>
      <c r="D75" s="10"/>
      <c r="E75" s="125"/>
      <c r="F75" s="125"/>
      <c r="G75" s="125"/>
      <c r="H75" s="38"/>
      <c r="I75" s="38"/>
      <c r="J75" s="38"/>
      <c r="K75" s="38"/>
      <c r="L75" s="38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29"/>
      <c r="G76" s="129"/>
      <c r="H76" s="35"/>
      <c r="I76" s="35"/>
      <c r="J76" s="35"/>
      <c r="K76" s="35"/>
      <c r="L76" s="35"/>
      <c r="M76" s="10"/>
      <c r="N76" s="10"/>
      <c r="O76" s="10"/>
      <c r="P76" s="10"/>
      <c r="Q76" s="10"/>
      <c r="R76" s="10"/>
    </row>
    <row r="77" spans="2:18" s="25" customFormat="1" ht="12.75">
      <c r="B77" s="10"/>
      <c r="C77" s="10"/>
      <c r="D77" s="116"/>
      <c r="E77" s="117"/>
      <c r="F77" s="129"/>
      <c r="G77" s="129"/>
      <c r="H77" s="35"/>
      <c r="I77" s="35"/>
      <c r="J77" s="35"/>
      <c r="K77" s="35"/>
      <c r="L77" s="35"/>
      <c r="M77" s="10"/>
      <c r="N77" s="10"/>
      <c r="O77" s="10"/>
      <c r="P77" s="10"/>
      <c r="Q77" s="10"/>
      <c r="R77" s="10"/>
    </row>
    <row r="78" spans="2:18" s="25" customFormat="1" ht="12.75">
      <c r="B78" s="10"/>
      <c r="C78" s="10"/>
      <c r="D78" s="116"/>
      <c r="E78" s="117"/>
      <c r="F78" s="129"/>
      <c r="G78" s="129"/>
      <c r="H78" s="35"/>
      <c r="I78" s="35"/>
      <c r="J78" s="35"/>
      <c r="K78" s="35"/>
      <c r="L78" s="35"/>
      <c r="M78" s="10"/>
      <c r="N78" s="10"/>
      <c r="O78" s="10"/>
      <c r="P78" s="10"/>
      <c r="Q78" s="10"/>
      <c r="R78" s="10"/>
    </row>
    <row r="79" spans="1:18" s="25" customFormat="1" ht="18.75">
      <c r="A79" s="122"/>
      <c r="B79" s="122"/>
      <c r="C79" s="122"/>
      <c r="D79" s="122"/>
      <c r="E79" s="122"/>
      <c r="F79" s="122"/>
      <c r="G79" s="130"/>
      <c r="H79" s="131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 s="25" customFormat="1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 s="25" customFormat="1" ht="12.75">
      <c r="B81" s="10"/>
      <c r="C81" s="10"/>
      <c r="D81" s="116"/>
      <c r="E81" s="117"/>
      <c r="F81" s="117"/>
      <c r="G81" s="117"/>
      <c r="H81" s="35"/>
      <c r="I81" s="35"/>
      <c r="J81" s="35"/>
      <c r="K81" s="118"/>
      <c r="L81" s="118"/>
      <c r="M81" s="10"/>
      <c r="N81" s="10"/>
      <c r="O81" s="10"/>
      <c r="P81" s="10"/>
      <c r="Q81" s="10"/>
      <c r="R81" s="10"/>
    </row>
    <row r="82" spans="2:18" s="25" customFormat="1" ht="12.75">
      <c r="B82" s="10"/>
      <c r="C82" s="10"/>
      <c r="D82" s="39"/>
      <c r="E82" s="10"/>
      <c r="F82" s="10"/>
      <c r="G82" s="10"/>
      <c r="H82" s="36"/>
      <c r="I82" s="36"/>
      <c r="J82" s="36"/>
      <c r="K82" s="36"/>
      <c r="L82" s="36"/>
      <c r="M82" s="10"/>
      <c r="N82" s="10"/>
      <c r="O82" s="10"/>
      <c r="Q82" s="10"/>
      <c r="R82" s="10"/>
    </row>
    <row r="83" s="25" customFormat="1" ht="12.75">
      <c r="P83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83"/>
  <sheetViews>
    <sheetView tabSelected="1" zoomScalePageLayoutView="0" workbookViewId="0" topLeftCell="A8">
      <pane xSplit="8685" ySplit="3195" topLeftCell="K38" activePane="bottomLeft" state="split"/>
      <selection pane="topLeft" activeCell="G8" sqref="G8"/>
      <selection pane="topRight" activeCell="L8" sqref="L8"/>
      <selection pane="bottomLeft" activeCell="F49" sqref="F49"/>
      <selection pane="bottomRight" activeCell="O41" sqref="O41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7" width="9.125" style="8" customWidth="1"/>
    <col min="8" max="8" width="8.25390625" style="8" customWidth="1"/>
    <col min="9" max="9" width="16.625" style="8" customWidth="1"/>
    <col min="10" max="10" width="13.125" style="8" customWidth="1"/>
    <col min="11" max="11" width="14.625" style="8" customWidth="1"/>
    <col min="12" max="12" width="17.375" style="8" customWidth="1"/>
    <col min="13" max="13" width="18.00390625" style="8" customWidth="1"/>
    <col min="14" max="14" width="6.625" style="8" customWidth="1"/>
    <col min="15" max="15" width="14.00390625" style="8" customWidth="1"/>
    <col min="16" max="16" width="13.625" style="8" customWidth="1"/>
    <col min="17" max="18" width="14.125" style="8" customWidth="1"/>
    <col min="19" max="19" width="17.00390625" style="8" customWidth="1"/>
    <col min="20" max="20" width="2.625" style="8" hidden="1" customWidth="1"/>
    <col min="21" max="21" width="15.125" style="8" hidden="1" customWidth="1"/>
    <col min="22" max="22" width="12.875" style="8" hidden="1" customWidth="1"/>
    <col min="23" max="23" width="11.75390625" style="8" hidden="1" customWidth="1"/>
    <col min="24" max="49" width="0" style="8" hidden="1" customWidth="1"/>
    <col min="50" max="16384" width="9.125" style="8" customWidth="1"/>
  </cols>
  <sheetData>
    <row r="2" ht="12.75" hidden="1"/>
    <row r="3" ht="22.5">
      <c r="C3" s="63" t="s">
        <v>12</v>
      </c>
    </row>
    <row r="4" ht="12.75" hidden="1"/>
    <row r="5" spans="3:14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9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26"/>
      <c r="L6" s="9"/>
      <c r="M6" s="9"/>
      <c r="N6" s="9"/>
      <c r="O6" s="9"/>
      <c r="P6" s="9"/>
      <c r="Q6" s="9"/>
      <c r="R6" s="9"/>
      <c r="S6" s="10"/>
    </row>
    <row r="7" spans="1:20" ht="17.25" customHeight="1" thickBot="1">
      <c r="A7" s="25"/>
      <c r="B7" s="10"/>
      <c r="C7" s="10"/>
      <c r="D7" s="64" t="s">
        <v>124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 t="s">
        <v>13</v>
      </c>
      <c r="T7" s="25"/>
    </row>
    <row r="8" spans="1:19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128</v>
      </c>
      <c r="H8" s="11" t="s">
        <v>4</v>
      </c>
      <c r="I8" s="11" t="s">
        <v>81</v>
      </c>
      <c r="J8" s="11" t="s">
        <v>125</v>
      </c>
      <c r="K8" s="11" t="s">
        <v>126</v>
      </c>
      <c r="L8" s="11" t="s">
        <v>127</v>
      </c>
      <c r="M8" s="11" t="s">
        <v>18</v>
      </c>
      <c r="N8" s="67" t="s">
        <v>10</v>
      </c>
      <c r="O8" s="11" t="s">
        <v>29</v>
      </c>
      <c r="P8" s="11" t="s">
        <v>31</v>
      </c>
      <c r="Q8" s="11" t="s">
        <v>30</v>
      </c>
      <c r="R8" s="54" t="s">
        <v>32</v>
      </c>
      <c r="S8" s="54" t="s">
        <v>33</v>
      </c>
    </row>
    <row r="9" spans="1:19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71">
        <v>13</v>
      </c>
      <c r="O9" s="12">
        <v>14</v>
      </c>
      <c r="P9" s="12">
        <v>15</v>
      </c>
      <c r="Q9" s="12">
        <v>16</v>
      </c>
      <c r="R9" s="55">
        <v>17</v>
      </c>
      <c r="S9" s="55">
        <v>18</v>
      </c>
    </row>
    <row r="10" spans="1:20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9"/>
      <c r="T10" s="25"/>
    </row>
    <row r="11" spans="1:20" ht="16.5" customHeight="1" hidden="1">
      <c r="A11" s="73"/>
      <c r="B11" s="13"/>
      <c r="C11" s="13"/>
      <c r="D11" s="74"/>
      <c r="E11" s="75"/>
      <c r="F11" s="75"/>
      <c r="G11" s="75"/>
      <c r="H11" s="75"/>
      <c r="I11" s="27"/>
      <c r="J11" s="27"/>
      <c r="K11" s="27"/>
      <c r="L11" s="27"/>
      <c r="M11" s="27"/>
      <c r="N11" s="13"/>
      <c r="O11" s="13"/>
      <c r="P11" s="13"/>
      <c r="Q11" s="13"/>
      <c r="R11" s="56"/>
      <c r="S11" s="76"/>
      <c r="T11" s="25"/>
    </row>
    <row r="12" spans="1:20" ht="16.5" customHeight="1" hidden="1">
      <c r="A12" s="77"/>
      <c r="B12" s="1"/>
      <c r="C12" s="1"/>
      <c r="D12" s="52"/>
      <c r="E12" s="78"/>
      <c r="F12" s="78"/>
      <c r="G12" s="78"/>
      <c r="H12" s="78"/>
      <c r="I12" s="28"/>
      <c r="J12" s="28"/>
      <c r="K12" s="28"/>
      <c r="L12" s="28"/>
      <c r="M12" s="28"/>
      <c r="N12" s="1"/>
      <c r="O12" s="1"/>
      <c r="P12" s="1"/>
      <c r="Q12" s="1"/>
      <c r="R12" s="57"/>
      <c r="S12" s="79"/>
      <c r="T12" s="25"/>
    </row>
    <row r="13" spans="1:20" ht="12.75" customHeight="1" hidden="1">
      <c r="A13" s="77"/>
      <c r="B13" s="1"/>
      <c r="C13" s="1"/>
      <c r="D13" s="52"/>
      <c r="E13" s="78"/>
      <c r="F13" s="46"/>
      <c r="G13" s="46"/>
      <c r="H13" s="46"/>
      <c r="I13" s="28"/>
      <c r="J13" s="28"/>
      <c r="K13" s="28"/>
      <c r="L13" s="28"/>
      <c r="M13" s="28"/>
      <c r="N13" s="1"/>
      <c r="O13" s="1"/>
      <c r="P13" s="1"/>
      <c r="Q13" s="1"/>
      <c r="R13" s="57"/>
      <c r="S13" s="79"/>
      <c r="T13" s="25"/>
    </row>
    <row r="14" spans="1:20" ht="12.75" customHeight="1" hidden="1">
      <c r="A14" s="77"/>
      <c r="B14" s="1"/>
      <c r="C14" s="1"/>
      <c r="D14" s="52"/>
      <c r="E14" s="78"/>
      <c r="F14" s="46"/>
      <c r="G14" s="46"/>
      <c r="H14" s="46"/>
      <c r="I14" s="28"/>
      <c r="J14" s="28"/>
      <c r="K14" s="28"/>
      <c r="L14" s="28"/>
      <c r="M14" s="28"/>
      <c r="N14" s="1"/>
      <c r="O14" s="1"/>
      <c r="P14" s="1"/>
      <c r="Q14" s="1"/>
      <c r="R14" s="57"/>
      <c r="S14" s="79"/>
      <c r="T14" s="25"/>
    </row>
    <row r="15" spans="1:20" ht="12.75" customHeight="1" hidden="1">
      <c r="A15" s="77"/>
      <c r="B15" s="1"/>
      <c r="C15" s="1"/>
      <c r="D15" s="52"/>
      <c r="E15" s="78"/>
      <c r="F15" s="46"/>
      <c r="G15" s="46"/>
      <c r="H15" s="46"/>
      <c r="I15" s="28"/>
      <c r="J15" s="28"/>
      <c r="K15" s="28"/>
      <c r="L15" s="28"/>
      <c r="M15" s="28"/>
      <c r="N15" s="1"/>
      <c r="O15" s="1"/>
      <c r="P15" s="1"/>
      <c r="Q15" s="1"/>
      <c r="R15" s="57"/>
      <c r="S15" s="79"/>
      <c r="T15" s="25"/>
    </row>
    <row r="16" spans="1:20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58"/>
      <c r="S16" s="81"/>
      <c r="T16" s="82"/>
    </row>
    <row r="17" spans="1:20" ht="18.75" customHeight="1" hidden="1">
      <c r="A17" s="77"/>
      <c r="B17" s="1" t="s">
        <v>9</v>
      </c>
      <c r="C17" s="1"/>
      <c r="D17" s="52"/>
      <c r="E17" s="78"/>
      <c r="F17" s="78"/>
      <c r="G17" s="78"/>
      <c r="H17" s="78"/>
      <c r="I17" s="28"/>
      <c r="J17" s="28"/>
      <c r="K17" s="28"/>
      <c r="L17" s="28"/>
      <c r="M17" s="28"/>
      <c r="N17" s="1"/>
      <c r="O17" s="1"/>
      <c r="P17" s="1"/>
      <c r="Q17" s="1"/>
      <c r="R17" s="57"/>
      <c r="S17" s="79"/>
      <c r="T17" s="25"/>
    </row>
    <row r="18" spans="1:20" ht="15.75" customHeight="1" hidden="1">
      <c r="A18" s="77"/>
      <c r="B18" s="1"/>
      <c r="C18" s="1"/>
      <c r="D18" s="52"/>
      <c r="E18" s="78"/>
      <c r="F18" s="78"/>
      <c r="G18" s="78"/>
      <c r="H18" s="78"/>
      <c r="I18" s="28"/>
      <c r="J18" s="28"/>
      <c r="K18" s="28"/>
      <c r="L18" s="28"/>
      <c r="M18" s="28"/>
      <c r="N18" s="1"/>
      <c r="O18" s="1"/>
      <c r="P18" s="1"/>
      <c r="Q18" s="1"/>
      <c r="R18" s="57"/>
      <c r="S18" s="79"/>
      <c r="T18" s="25"/>
    </row>
    <row r="19" spans="1:20" ht="16.5" customHeight="1" hidden="1">
      <c r="A19" s="77"/>
      <c r="B19" s="1"/>
      <c r="C19" s="1"/>
      <c r="D19" s="52"/>
      <c r="E19" s="78"/>
      <c r="F19" s="78"/>
      <c r="G19" s="78"/>
      <c r="H19" s="78"/>
      <c r="I19" s="28"/>
      <c r="J19" s="28"/>
      <c r="K19" s="28"/>
      <c r="L19" s="28"/>
      <c r="M19" s="28"/>
      <c r="N19" s="1"/>
      <c r="O19" s="1"/>
      <c r="P19" s="1"/>
      <c r="Q19" s="1"/>
      <c r="R19" s="57"/>
      <c r="S19" s="79"/>
      <c r="T19" s="25"/>
    </row>
    <row r="20" spans="1:20" ht="10.5" customHeight="1">
      <c r="A20" s="84"/>
      <c r="B20" s="3"/>
      <c r="C20" s="3"/>
      <c r="D20" s="43"/>
      <c r="E20" s="85"/>
      <c r="F20" s="85"/>
      <c r="G20" s="85"/>
      <c r="H20" s="85"/>
      <c r="I20" s="29"/>
      <c r="J20" s="29"/>
      <c r="K20" s="29"/>
      <c r="L20" s="29"/>
      <c r="M20" s="29"/>
      <c r="N20" s="3"/>
      <c r="O20" s="3"/>
      <c r="P20" s="3"/>
      <c r="Q20" s="3"/>
      <c r="R20" s="59"/>
      <c r="S20" s="86"/>
      <c r="T20" s="25"/>
    </row>
    <row r="21" spans="1:20" ht="16.5" customHeight="1" thickBot="1">
      <c r="A21" s="87" t="s">
        <v>21</v>
      </c>
      <c r="B21" s="15"/>
      <c r="C21" s="15"/>
      <c r="D21" s="88"/>
      <c r="E21" s="12"/>
      <c r="F21" s="12"/>
      <c r="G21" s="12"/>
      <c r="H21" s="12"/>
      <c r="I21" s="30"/>
      <c r="J21" s="30"/>
      <c r="K21" s="30"/>
      <c r="L21" s="30"/>
      <c r="M21" s="30"/>
      <c r="N21" s="15"/>
      <c r="O21" s="15"/>
      <c r="P21" s="15"/>
      <c r="Q21" s="15"/>
      <c r="R21" s="60"/>
      <c r="S21" s="89"/>
      <c r="T21" s="25"/>
    </row>
    <row r="22" spans="1:19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31"/>
      <c r="N22" s="90"/>
      <c r="O22" s="16"/>
      <c r="P22" s="16"/>
      <c r="Q22" s="16"/>
      <c r="R22" s="61"/>
      <c r="S22" s="91"/>
    </row>
    <row r="23" spans="1:36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5"/>
      <c r="H23" s="46" t="s">
        <v>28</v>
      </c>
      <c r="I23" s="32">
        <v>0</v>
      </c>
      <c r="J23" s="32"/>
      <c r="K23" s="32"/>
      <c r="L23" s="53">
        <f aca="true" t="shared" si="0" ref="L23:L38">I23+J23-K23</f>
        <v>0</v>
      </c>
      <c r="M23" s="47">
        <f aca="true" t="shared" si="1" ref="M23:M38">L23</f>
        <v>0</v>
      </c>
      <c r="N23" s="7"/>
      <c r="O23" s="7"/>
      <c r="P23" s="5"/>
      <c r="Q23" s="7"/>
      <c r="R23" s="6">
        <f aca="true" t="shared" si="2" ref="R23:R38">O23+P23-Q23</f>
        <v>0</v>
      </c>
      <c r="S23" s="48">
        <f aca="true" t="shared" si="3" ref="S23:S38">L23+O23+P23-Q23</f>
        <v>0</v>
      </c>
      <c r="T23" s="49"/>
      <c r="U23" s="4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5"/>
      <c r="H24" s="46" t="s">
        <v>28</v>
      </c>
      <c r="I24" s="32">
        <v>0</v>
      </c>
      <c r="J24" s="32"/>
      <c r="K24" s="32"/>
      <c r="L24" s="53">
        <f t="shared" si="0"/>
        <v>0</v>
      </c>
      <c r="M24" s="47">
        <f t="shared" si="1"/>
        <v>0</v>
      </c>
      <c r="N24" s="7"/>
      <c r="O24" s="7"/>
      <c r="P24" s="5"/>
      <c r="Q24" s="7"/>
      <c r="R24" s="6">
        <f t="shared" si="2"/>
        <v>0</v>
      </c>
      <c r="S24" s="48">
        <f t="shared" si="3"/>
        <v>0</v>
      </c>
      <c r="T24" s="49"/>
      <c r="U24" s="4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83" t="s">
        <v>65</v>
      </c>
      <c r="G25" s="183"/>
      <c r="H25" s="46" t="s">
        <v>28</v>
      </c>
      <c r="I25" s="32">
        <v>839000</v>
      </c>
      <c r="J25" s="32"/>
      <c r="K25" s="32">
        <f>120000+120000+120000+120000+120000+120000+119000</f>
        <v>839000</v>
      </c>
      <c r="L25" s="53">
        <f t="shared" si="0"/>
        <v>0</v>
      </c>
      <c r="M25" s="47">
        <f t="shared" si="1"/>
        <v>0</v>
      </c>
      <c r="N25" s="7"/>
      <c r="O25" s="7">
        <v>71.06</v>
      </c>
      <c r="P25" s="181">
        <f>63.04+52.2+45.62+35.1+25.56+14.71+5.87</f>
        <v>242.10000000000002</v>
      </c>
      <c r="Q25" s="7">
        <f>71.06+63.04+52.2+45.62+35.1+25.56+14.71+5.87</f>
        <v>313.16</v>
      </c>
      <c r="R25" s="6">
        <f t="shared" si="2"/>
        <v>0</v>
      </c>
      <c r="S25" s="48">
        <f t="shared" si="3"/>
        <v>0</v>
      </c>
      <c r="T25" s="49"/>
      <c r="U25" s="4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83" t="s">
        <v>65</v>
      </c>
      <c r="G26" s="183"/>
      <c r="H26" s="46" t="s">
        <v>28</v>
      </c>
      <c r="I26" s="32">
        <v>2184000</v>
      </c>
      <c r="J26" s="32"/>
      <c r="K26" s="32">
        <f>312000+312000+312000+312000+312000+312000+312000</f>
        <v>2184000</v>
      </c>
      <c r="L26" s="53">
        <f t="shared" si="0"/>
        <v>0</v>
      </c>
      <c r="M26" s="47">
        <f t="shared" si="1"/>
        <v>0</v>
      </c>
      <c r="N26" s="7"/>
      <c r="O26" s="7">
        <v>184.98</v>
      </c>
      <c r="P26" s="181">
        <f>164.12+135.92+118.82+91.47+66.67+38.46+15.39</f>
        <v>630.8499999999999</v>
      </c>
      <c r="Q26" s="7">
        <f>184.98+164.12+135.92+118.82+91.47+66.67+38.46+15.39</f>
        <v>815.8299999999999</v>
      </c>
      <c r="R26" s="6">
        <f t="shared" si="2"/>
        <v>0</v>
      </c>
      <c r="S26" s="48">
        <f t="shared" si="3"/>
        <v>0</v>
      </c>
      <c r="T26" s="49"/>
      <c r="U26" s="4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183" t="s">
        <v>112</v>
      </c>
      <c r="G27" s="183"/>
      <c r="H27" s="46" t="s">
        <v>28</v>
      </c>
      <c r="I27" s="32">
        <v>1650000</v>
      </c>
      <c r="J27" s="32"/>
      <c r="K27" s="32"/>
      <c r="L27" s="53">
        <f t="shared" si="0"/>
        <v>1650000</v>
      </c>
      <c r="M27" s="160">
        <f t="shared" si="1"/>
        <v>1650000</v>
      </c>
      <c r="N27" s="7"/>
      <c r="O27" s="7">
        <v>0</v>
      </c>
      <c r="P27" s="5"/>
      <c r="Q27" s="7"/>
      <c r="R27" s="6">
        <f t="shared" si="2"/>
        <v>0</v>
      </c>
      <c r="S27" s="48">
        <f t="shared" si="3"/>
        <v>1650000</v>
      </c>
      <c r="T27" s="49"/>
      <c r="U27" s="49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183" t="s">
        <v>112</v>
      </c>
      <c r="G28" s="183"/>
      <c r="H28" s="46" t="s">
        <v>28</v>
      </c>
      <c r="I28" s="32">
        <v>5450000</v>
      </c>
      <c r="J28" s="32"/>
      <c r="K28" s="32"/>
      <c r="L28" s="53">
        <f t="shared" si="0"/>
        <v>5450000</v>
      </c>
      <c r="M28" s="160">
        <f t="shared" si="1"/>
        <v>5450000</v>
      </c>
      <c r="N28" s="7"/>
      <c r="O28" s="7">
        <v>0</v>
      </c>
      <c r="P28" s="5"/>
      <c r="Q28" s="7"/>
      <c r="R28" s="6">
        <f t="shared" si="2"/>
        <v>0</v>
      </c>
      <c r="S28" s="48">
        <f t="shared" si="3"/>
        <v>5450000</v>
      </c>
      <c r="T28" s="49"/>
      <c r="U28" s="49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183" t="s">
        <v>113</v>
      </c>
      <c r="G29" s="183"/>
      <c r="H29" s="46" t="s">
        <v>28</v>
      </c>
      <c r="I29" s="32">
        <v>7107000</v>
      </c>
      <c r="J29" s="167">
        <f>-(5523000+1584000)</f>
        <v>-7107000</v>
      </c>
      <c r="K29" s="32"/>
      <c r="L29" s="53">
        <f t="shared" si="0"/>
        <v>0</v>
      </c>
      <c r="M29" s="160">
        <f t="shared" si="1"/>
        <v>0</v>
      </c>
      <c r="N29" s="7"/>
      <c r="O29" s="7">
        <v>4471.68</v>
      </c>
      <c r="P29" s="5">
        <f>4483.94</f>
        <v>4483.94</v>
      </c>
      <c r="Q29" s="7">
        <f>4471.68+4483.94</f>
        <v>8955.619999999999</v>
      </c>
      <c r="R29" s="6">
        <f t="shared" si="2"/>
        <v>0</v>
      </c>
      <c r="S29" s="48">
        <f t="shared" si="3"/>
        <v>0</v>
      </c>
      <c r="T29" s="49"/>
      <c r="U29" s="49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83" t="s">
        <v>113</v>
      </c>
      <c r="G30" s="183"/>
      <c r="H30" s="166"/>
      <c r="I30" s="167"/>
      <c r="J30" s="167">
        <v>5523000</v>
      </c>
      <c r="K30" s="167"/>
      <c r="L30" s="168">
        <f t="shared" si="0"/>
        <v>5523000</v>
      </c>
      <c r="M30" s="160">
        <f t="shared" si="1"/>
        <v>5523000</v>
      </c>
      <c r="N30" s="169"/>
      <c r="O30" s="169"/>
      <c r="P30" s="170"/>
      <c r="Q30" s="169"/>
      <c r="R30" s="6">
        <f t="shared" si="2"/>
        <v>0</v>
      </c>
      <c r="S30" s="48">
        <f t="shared" si="3"/>
        <v>5523000</v>
      </c>
      <c r="T30" s="171"/>
      <c r="U30" s="171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</row>
    <row r="31" spans="1:36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183"/>
      <c r="G31" s="183"/>
      <c r="H31" s="46" t="s">
        <v>28</v>
      </c>
      <c r="I31" s="32">
        <v>5055000</v>
      </c>
      <c r="J31" s="167">
        <f>-(2723000+2332000)</f>
        <v>-5055000</v>
      </c>
      <c r="K31" s="32"/>
      <c r="L31" s="53">
        <f t="shared" si="0"/>
        <v>0</v>
      </c>
      <c r="M31" s="160">
        <f t="shared" si="1"/>
        <v>0</v>
      </c>
      <c r="N31" s="7"/>
      <c r="O31" s="7">
        <v>6583.31</v>
      </c>
      <c r="P31" s="5">
        <f>6601.35</f>
        <v>6601.35</v>
      </c>
      <c r="Q31" s="7">
        <f>6583.31+6601.35</f>
        <v>13184.66</v>
      </c>
      <c r="R31" s="6">
        <f t="shared" si="2"/>
        <v>0</v>
      </c>
      <c r="S31" s="48">
        <f t="shared" si="3"/>
        <v>0</v>
      </c>
      <c r="T31" s="49"/>
      <c r="U31" s="49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s="173" customFormat="1" ht="66.75" customHeight="1">
      <c r="A32" s="161"/>
      <c r="B32" s="162"/>
      <c r="C32" s="163" t="s">
        <v>103</v>
      </c>
      <c r="D32" s="163"/>
      <c r="E32" s="164"/>
      <c r="F32" s="183" t="s">
        <v>113</v>
      </c>
      <c r="G32" s="183"/>
      <c r="H32" s="166"/>
      <c r="I32" s="167"/>
      <c r="J32" s="167">
        <v>2723000</v>
      </c>
      <c r="K32" s="167"/>
      <c r="L32" s="168">
        <f t="shared" si="0"/>
        <v>2723000</v>
      </c>
      <c r="M32" s="160">
        <f t="shared" si="1"/>
        <v>2723000</v>
      </c>
      <c r="N32" s="169"/>
      <c r="O32" s="169"/>
      <c r="P32" s="170"/>
      <c r="Q32" s="169"/>
      <c r="R32" s="6">
        <f t="shared" si="2"/>
        <v>0</v>
      </c>
      <c r="S32" s="48">
        <f t="shared" si="3"/>
        <v>2723000</v>
      </c>
      <c r="T32" s="171"/>
      <c r="U32" s="171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</row>
    <row r="33" spans="1:36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183">
        <v>42972</v>
      </c>
      <c r="G33" s="183"/>
      <c r="H33" s="46" t="s">
        <v>28</v>
      </c>
      <c r="I33" s="32">
        <v>6000000</v>
      </c>
      <c r="J33" s="32">
        <v>-6000000</v>
      </c>
      <c r="K33" s="32"/>
      <c r="L33" s="53">
        <f t="shared" si="0"/>
        <v>0</v>
      </c>
      <c r="M33" s="160">
        <f t="shared" si="1"/>
        <v>0</v>
      </c>
      <c r="N33" s="7"/>
      <c r="O33" s="7">
        <v>16938.2</v>
      </c>
      <c r="P33" s="5">
        <f>16984.6</f>
        <v>16984.6</v>
      </c>
      <c r="Q33" s="94">
        <f>16938.2+16984.6</f>
        <v>33922.8</v>
      </c>
      <c r="R33" s="6">
        <f t="shared" si="2"/>
        <v>0</v>
      </c>
      <c r="S33" s="48">
        <f t="shared" si="3"/>
        <v>0</v>
      </c>
      <c r="T33" s="49"/>
      <c r="U33" s="49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184">
        <v>43064</v>
      </c>
      <c r="G34" s="184"/>
      <c r="H34" s="133" t="s">
        <v>28</v>
      </c>
      <c r="I34" s="6">
        <v>10000000</v>
      </c>
      <c r="J34" s="6">
        <v>-10000000</v>
      </c>
      <c r="K34" s="6"/>
      <c r="L34" s="47">
        <f t="shared" si="0"/>
        <v>0</v>
      </c>
      <c r="M34" s="160">
        <f t="shared" si="1"/>
        <v>0</v>
      </c>
      <c r="N34" s="7"/>
      <c r="O34" s="7">
        <v>28230.33</v>
      </c>
      <c r="P34" s="134">
        <f>28307.67</f>
        <v>28307.67</v>
      </c>
      <c r="Q34" s="135">
        <f>28230.33+28307.67</f>
        <v>56538</v>
      </c>
      <c r="R34" s="6">
        <f t="shared" si="2"/>
        <v>0</v>
      </c>
      <c r="S34" s="48">
        <f t="shared" si="3"/>
        <v>0</v>
      </c>
      <c r="T34" s="49"/>
      <c r="U34" s="49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183">
        <v>43240</v>
      </c>
      <c r="G35" s="184"/>
      <c r="H35" s="133" t="s">
        <v>28</v>
      </c>
      <c r="I35" s="32">
        <v>10000000</v>
      </c>
      <c r="J35" s="44"/>
      <c r="K35" s="32"/>
      <c r="L35" s="47">
        <f t="shared" si="0"/>
        <v>10000000</v>
      </c>
      <c r="M35" s="47">
        <f t="shared" si="1"/>
        <v>10000000</v>
      </c>
      <c r="N35" s="4"/>
      <c r="O35" s="4">
        <v>28230.33</v>
      </c>
      <c r="P35" s="181">
        <f>28307.67+25568.22+28193.97+26712.33+26230.14+8699.18+25479.45+25479.45+24062.74+24015.62</f>
        <v>242748.77000000002</v>
      </c>
      <c r="Q35" s="94">
        <f>28230.33+28307.67+25568.22+28193.97+26712.33+26230.14+8699.18+25479.45+25479.45+24062.74</f>
        <v>246963.48000000004</v>
      </c>
      <c r="R35" s="6">
        <f t="shared" si="2"/>
        <v>24015.619999999995</v>
      </c>
      <c r="S35" s="48">
        <f t="shared" si="3"/>
        <v>10024015.62</v>
      </c>
      <c r="T35" s="49"/>
      <c r="U35" s="49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>
        <v>42359</v>
      </c>
      <c r="G36" s="45"/>
      <c r="H36" s="46" t="s">
        <v>28</v>
      </c>
      <c r="I36" s="32">
        <v>0</v>
      </c>
      <c r="J36" s="44"/>
      <c r="K36" s="32"/>
      <c r="L36" s="53">
        <f t="shared" si="0"/>
        <v>0</v>
      </c>
      <c r="M36" s="53">
        <f t="shared" si="1"/>
        <v>0</v>
      </c>
      <c r="N36" s="4"/>
      <c r="O36" s="4"/>
      <c r="P36" s="5">
        <v>0</v>
      </c>
      <c r="Q36" s="94"/>
      <c r="R36" s="6"/>
      <c r="S36" s="48">
        <f t="shared" si="3"/>
        <v>0</v>
      </c>
      <c r="T36" s="49"/>
      <c r="U36" s="49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183" t="s">
        <v>60</v>
      </c>
      <c r="G37" s="183"/>
      <c r="H37" s="46" t="s">
        <v>28</v>
      </c>
      <c r="I37" s="138">
        <v>6500000</v>
      </c>
      <c r="J37" s="137"/>
      <c r="K37" s="138"/>
      <c r="L37" s="53">
        <f t="shared" si="0"/>
        <v>6500000</v>
      </c>
      <c r="M37" s="53">
        <f t="shared" si="1"/>
        <v>6500000</v>
      </c>
      <c r="N37" s="139"/>
      <c r="O37" s="139">
        <v>18349.71</v>
      </c>
      <c r="P37" s="181">
        <f>18399.99+16619.34+18326.09+17363.01+17049.59+16293.45+16561.64+16561.64+15640.78+15610.15</f>
        <v>168425.68</v>
      </c>
      <c r="Q37" s="140">
        <f>18349.71+18399.99+16619.34+18326.09+17363.01+17049.59+16293.45+16561.64+16561.64+15640.78</f>
        <v>171165.23999999996</v>
      </c>
      <c r="R37" s="32">
        <f t="shared" si="2"/>
        <v>15610.150000000023</v>
      </c>
      <c r="S37" s="32">
        <f t="shared" si="3"/>
        <v>6515610.149999999</v>
      </c>
      <c r="T37" s="49"/>
      <c r="U37" s="49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183" t="s">
        <v>114</v>
      </c>
      <c r="G38" s="183"/>
      <c r="H38" s="46" t="s">
        <v>28</v>
      </c>
      <c r="I38" s="138">
        <v>12400000</v>
      </c>
      <c r="J38" s="137"/>
      <c r="K38" s="138"/>
      <c r="L38" s="153">
        <f t="shared" si="0"/>
        <v>12400000</v>
      </c>
      <c r="M38" s="153">
        <f t="shared" si="1"/>
        <v>12400000</v>
      </c>
      <c r="N38" s="139"/>
      <c r="O38" s="139">
        <v>35005.61</v>
      </c>
      <c r="P38" s="182">
        <f>35101.51+31704.59+35073.32+33010.5+32525.37+31082.9+31594.52+31594.52+29837.8+29779.36</f>
        <v>321304.38999999996</v>
      </c>
      <c r="Q38" s="140">
        <f>35005.61+35101.51+31704.59+35073.32+33010.5+32525.37+31082.9+31594.52+31594.52+29837.8</f>
        <v>326530.64</v>
      </c>
      <c r="R38" s="32">
        <f t="shared" si="2"/>
        <v>29779.359999999928</v>
      </c>
      <c r="S38" s="32">
        <f t="shared" si="3"/>
        <v>12429779.36</v>
      </c>
      <c r="T38" s="49"/>
      <c r="U38" s="49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66.75" customHeight="1">
      <c r="A39" s="50"/>
      <c r="B39" s="42" t="s">
        <v>15</v>
      </c>
      <c r="C39" s="52" t="s">
        <v>70</v>
      </c>
      <c r="D39" s="52" t="s">
        <v>34</v>
      </c>
      <c r="E39" s="44">
        <v>24800000</v>
      </c>
      <c r="F39" s="183" t="s">
        <v>71</v>
      </c>
      <c r="G39" s="183"/>
      <c r="H39" s="46" t="s">
        <v>28</v>
      </c>
      <c r="I39" s="138">
        <v>24800000</v>
      </c>
      <c r="J39" s="174">
        <f>-(5756000+7084000)</f>
        <v>-12840000</v>
      </c>
      <c r="K39" s="138"/>
      <c r="L39" s="153">
        <f>I39+J39-K39</f>
        <v>11960000</v>
      </c>
      <c r="M39" s="153">
        <f>L39</f>
        <v>11960000</v>
      </c>
      <c r="N39" s="139"/>
      <c r="O39" s="139">
        <v>70011.21</v>
      </c>
      <c r="P39" s="182">
        <f>70203.02+20027.22+33719.99+31947.95+31371.24+29979.95+30473.42+30473.42+28779.03+28722.68</f>
        <v>335697.92</v>
      </c>
      <c r="Q39" s="140">
        <f>70011.21+70203.02+20027.22+33719.99+31947.95+31371.24+29979.95+30473.42+30473.42+28779.03</f>
        <v>376986.44999999995</v>
      </c>
      <c r="R39" s="32">
        <f>O39+P39-Q39</f>
        <v>28722.68000000005</v>
      </c>
      <c r="S39" s="32">
        <f>L39+O39+P39-Q39</f>
        <v>11988722.680000002</v>
      </c>
      <c r="T39" s="49"/>
      <c r="U39" s="49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66.75" customHeight="1">
      <c r="A40" s="50"/>
      <c r="B40" s="132" t="s">
        <v>15</v>
      </c>
      <c r="C40" s="43" t="s">
        <v>76</v>
      </c>
      <c r="D40" s="43" t="s">
        <v>34</v>
      </c>
      <c r="E40" s="2">
        <v>16000000</v>
      </c>
      <c r="F40" s="184">
        <v>43819</v>
      </c>
      <c r="G40" s="184"/>
      <c r="H40" s="133" t="s">
        <v>28</v>
      </c>
      <c r="I40" s="138">
        <v>16000000</v>
      </c>
      <c r="J40" s="174">
        <v>-4000000</v>
      </c>
      <c r="K40" s="138"/>
      <c r="L40" s="153">
        <f>I40+J40-K40</f>
        <v>12000000</v>
      </c>
      <c r="M40" s="153">
        <f>L40</f>
        <v>12000000</v>
      </c>
      <c r="N40" s="139"/>
      <c r="O40" s="139">
        <v>8742.3</v>
      </c>
      <c r="P40" s="182">
        <f>45292.27+27394.52+33832.77+32054.79+31476.16+30080.22+30575.34+30575.34+28875.28+28818.74</f>
        <v>318975.43</v>
      </c>
      <c r="Q40" s="140">
        <f>8742.3+45292.27+27394.52+33832.77+32054.79+31476.16+30080.22+30575.34+30575.34+28875.28</f>
        <v>298898.99</v>
      </c>
      <c r="R40" s="32">
        <f>O40+P40-Q40</f>
        <v>28818.73999999999</v>
      </c>
      <c r="S40" s="32">
        <f>L40+O40+P40-Q40</f>
        <v>12028818.74</v>
      </c>
      <c r="T40" s="49"/>
      <c r="U40" s="49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66.75" customHeight="1">
      <c r="A41" s="180">
        <v>17</v>
      </c>
      <c r="B41" s="162" t="s">
        <v>15</v>
      </c>
      <c r="C41" s="163" t="s">
        <v>105</v>
      </c>
      <c r="D41" s="163" t="s">
        <v>34</v>
      </c>
      <c r="E41" s="164">
        <v>36756000</v>
      </c>
      <c r="F41" s="183" t="s">
        <v>106</v>
      </c>
      <c r="G41" s="183"/>
      <c r="H41" s="46" t="s">
        <v>28</v>
      </c>
      <c r="I41" s="138"/>
      <c r="J41" s="174">
        <v>36756000</v>
      </c>
      <c r="K41" s="138"/>
      <c r="L41" s="153">
        <f>I41+J41-K41</f>
        <v>36756000</v>
      </c>
      <c r="M41" s="153">
        <f>L41</f>
        <v>36756000</v>
      </c>
      <c r="N41" s="139"/>
      <c r="O41" s="139"/>
      <c r="P41" s="154">
        <v>16011.52</v>
      </c>
      <c r="Q41" s="140">
        <f>16011.52</f>
        <v>16011.52</v>
      </c>
      <c r="R41" s="32">
        <f>O41+P41-Q41</f>
        <v>0</v>
      </c>
      <c r="S41" s="32">
        <f>L41+O41+P41-Q41</f>
        <v>36756000</v>
      </c>
      <c r="T41" s="49"/>
      <c r="U41" s="49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66.75" customHeight="1">
      <c r="A42" s="180">
        <v>17</v>
      </c>
      <c r="B42" s="162" t="s">
        <v>15</v>
      </c>
      <c r="C42" s="163" t="s">
        <v>107</v>
      </c>
      <c r="D42" s="163" t="s">
        <v>34</v>
      </c>
      <c r="E42" s="164">
        <v>20000000</v>
      </c>
      <c r="F42" s="183">
        <v>43982</v>
      </c>
      <c r="G42" s="183"/>
      <c r="H42" s="46" t="s">
        <v>28</v>
      </c>
      <c r="I42" s="138"/>
      <c r="J42" s="174">
        <v>20000000</v>
      </c>
      <c r="K42" s="138"/>
      <c r="L42" s="153">
        <f>I42+J42-K42</f>
        <v>20000000</v>
      </c>
      <c r="M42" s="153">
        <f>L42</f>
        <v>20000000</v>
      </c>
      <c r="N42" s="139"/>
      <c r="O42" s="139"/>
      <c r="P42" s="154">
        <v>16438.36</v>
      </c>
      <c r="Q42" s="140">
        <f>16438.36</f>
        <v>16438.36</v>
      </c>
      <c r="R42" s="32">
        <f>O42+P42-Q42</f>
        <v>0</v>
      </c>
      <c r="S42" s="32">
        <f>L42+O42+P42-Q42</f>
        <v>20000000</v>
      </c>
      <c r="T42" s="49"/>
      <c r="U42" s="49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66.75" customHeight="1">
      <c r="A43" s="180">
        <v>17</v>
      </c>
      <c r="B43" s="162" t="s">
        <v>15</v>
      </c>
      <c r="C43" s="163" t="s">
        <v>119</v>
      </c>
      <c r="D43" s="163" t="s">
        <v>34</v>
      </c>
      <c r="E43" s="164">
        <v>1400000</v>
      </c>
      <c r="F43" s="183">
        <v>44032</v>
      </c>
      <c r="G43" s="183"/>
      <c r="H43" s="46" t="s">
        <v>28</v>
      </c>
      <c r="I43" s="138"/>
      <c r="J43" s="174">
        <v>1400000</v>
      </c>
      <c r="K43" s="138"/>
      <c r="L43" s="153">
        <f>I43+J43-K43</f>
        <v>1400000</v>
      </c>
      <c r="M43" s="153">
        <f>L43</f>
        <v>1400000</v>
      </c>
      <c r="N43" s="139"/>
      <c r="O43" s="139"/>
      <c r="P43" s="154">
        <v>0</v>
      </c>
      <c r="Q43" s="140">
        <v>0</v>
      </c>
      <c r="R43" s="32">
        <f>O43+P43-Q43</f>
        <v>0</v>
      </c>
      <c r="S43" s="32">
        <f>L43+O43+P43-Q43</f>
        <v>1400000</v>
      </c>
      <c r="T43" s="49"/>
      <c r="U43" s="49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.75" customHeight="1" thickBot="1">
      <c r="A44" s="95" t="s">
        <v>21</v>
      </c>
      <c r="B44" s="18"/>
      <c r="C44" s="18"/>
      <c r="D44" s="96"/>
      <c r="E44" s="97"/>
      <c r="F44" s="98"/>
      <c r="G44" s="98"/>
      <c r="H44" s="98"/>
      <c r="I44" s="136">
        <f>I23+I24+I25+I26+I27+I28+I29+I31+I33+I34+I35+I36+I37+I38+I39+I40+I30+I32+I41+I42+I43</f>
        <v>107985000</v>
      </c>
      <c r="J44" s="136">
        <f aca="true" t="shared" si="4" ref="J44:S44">J23+J24+J25+J26+J27+J28+J29+J31+J33+J34+J35+J36+J37+J38+J39+J40+J30+J32+J41+J42+J43</f>
        <v>21400000</v>
      </c>
      <c r="K44" s="136">
        <f t="shared" si="4"/>
        <v>3023000</v>
      </c>
      <c r="L44" s="136">
        <f t="shared" si="4"/>
        <v>126362000</v>
      </c>
      <c r="M44" s="136">
        <f t="shared" si="4"/>
        <v>126362000</v>
      </c>
      <c r="N44" s="136">
        <f t="shared" si="4"/>
        <v>0</v>
      </c>
      <c r="O44" s="136">
        <f t="shared" si="4"/>
        <v>216818.72000000003</v>
      </c>
      <c r="P44" s="136">
        <f t="shared" si="4"/>
        <v>1476852.58</v>
      </c>
      <c r="Q44" s="136">
        <f t="shared" si="4"/>
        <v>1566724.75</v>
      </c>
      <c r="R44" s="136">
        <f t="shared" si="4"/>
        <v>126946.54999999999</v>
      </c>
      <c r="S44" s="136">
        <f t="shared" si="4"/>
        <v>126488946.55</v>
      </c>
      <c r="T44" s="136">
        <f>T23+T24+T25+T26+T27+T28+T29+T31+T33+T34+T35+T36+T37+T38+T39+T40</f>
        <v>0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20" ht="16.5" customHeight="1" thickBot="1">
      <c r="A45" s="141" t="s">
        <v>19</v>
      </c>
      <c r="B45" s="142" t="s">
        <v>23</v>
      </c>
      <c r="C45" s="142"/>
      <c r="D45" s="142"/>
      <c r="E45" s="142"/>
      <c r="F45" s="142"/>
      <c r="G45" s="142"/>
      <c r="H45" s="20"/>
      <c r="I45" s="10"/>
      <c r="J45" s="10"/>
      <c r="K45" s="10"/>
      <c r="L45" s="10"/>
      <c r="M45" s="99"/>
      <c r="N45" s="10"/>
      <c r="O45" s="10"/>
      <c r="P45" s="10"/>
      <c r="Q45" s="146"/>
      <c r="R45" s="10"/>
      <c r="S45" s="147"/>
      <c r="T45" s="25"/>
    </row>
    <row r="46" spans="1:20" ht="69" customHeight="1">
      <c r="A46" s="144">
        <v>1</v>
      </c>
      <c r="B46" s="42" t="s">
        <v>23</v>
      </c>
      <c r="C46" s="145" t="s">
        <v>57</v>
      </c>
      <c r="D46" s="132" t="s">
        <v>58</v>
      </c>
      <c r="E46" s="17">
        <v>9000000</v>
      </c>
      <c r="F46" s="132" t="s">
        <v>63</v>
      </c>
      <c r="G46" s="132">
        <v>17.5</v>
      </c>
      <c r="H46" s="133" t="s">
        <v>28</v>
      </c>
      <c r="I46" s="7">
        <v>9000000</v>
      </c>
      <c r="J46" s="159"/>
      <c r="K46" s="7">
        <v>9000000</v>
      </c>
      <c r="L46" s="6">
        <f>I46+J46-K46</f>
        <v>0</v>
      </c>
      <c r="M46" s="6">
        <f>L46</f>
        <v>0</v>
      </c>
      <c r="N46" s="3"/>
      <c r="O46" s="3">
        <v>0</v>
      </c>
      <c r="P46" s="3">
        <f>133767.12+120821.92-4315.07</f>
        <v>250273.96999999997</v>
      </c>
      <c r="Q46" s="17">
        <f>133767.12+120821.92-4315.07</f>
        <v>250273.96999999997</v>
      </c>
      <c r="R46" s="6">
        <f>O46+P46-Q46</f>
        <v>0</v>
      </c>
      <c r="S46" s="6">
        <f>L46+O46+P46-Q46</f>
        <v>0</v>
      </c>
      <c r="T46" s="25"/>
    </row>
    <row r="47" spans="1:20" ht="69" customHeight="1">
      <c r="A47" s="152">
        <v>2</v>
      </c>
      <c r="B47" s="42" t="s">
        <v>23</v>
      </c>
      <c r="C47" s="145" t="s">
        <v>61</v>
      </c>
      <c r="D47" s="132" t="s">
        <v>58</v>
      </c>
      <c r="E47" s="17">
        <v>5000000</v>
      </c>
      <c r="F47" s="132" t="s">
        <v>62</v>
      </c>
      <c r="G47" s="132">
        <v>16.4</v>
      </c>
      <c r="H47" s="133" t="s">
        <v>28</v>
      </c>
      <c r="I47" s="7"/>
      <c r="J47" s="159"/>
      <c r="K47" s="7"/>
      <c r="L47" s="6">
        <f>I47+J47-K47</f>
        <v>0</v>
      </c>
      <c r="M47" s="6">
        <f>L47</f>
        <v>0</v>
      </c>
      <c r="N47" s="3"/>
      <c r="O47" s="3">
        <v>0</v>
      </c>
      <c r="P47" s="17"/>
      <c r="Q47" s="17"/>
      <c r="R47" s="6">
        <f>O47+P47-Q47</f>
        <v>0</v>
      </c>
      <c r="S47" s="6">
        <f>L47+O47+P47-Q47</f>
        <v>0</v>
      </c>
      <c r="T47" s="25"/>
    </row>
    <row r="48" spans="1:20" ht="69" customHeight="1">
      <c r="A48" s="152">
        <v>3</v>
      </c>
      <c r="B48" s="42" t="s">
        <v>23</v>
      </c>
      <c r="C48" s="145" t="s">
        <v>68</v>
      </c>
      <c r="D48" s="132" t="s">
        <v>58</v>
      </c>
      <c r="E48" s="17">
        <v>10000000</v>
      </c>
      <c r="F48" s="132" t="s">
        <v>80</v>
      </c>
      <c r="G48" s="132">
        <v>17.5</v>
      </c>
      <c r="H48" s="133" t="s">
        <v>28</v>
      </c>
      <c r="I48" s="159">
        <v>10000000</v>
      </c>
      <c r="J48" s="159"/>
      <c r="K48" s="159">
        <v>10000000</v>
      </c>
      <c r="L48" s="6">
        <f>I48+J48-K48</f>
        <v>0</v>
      </c>
      <c r="M48" s="6">
        <f>L48</f>
        <v>0</v>
      </c>
      <c r="N48" s="3"/>
      <c r="O48" s="3">
        <v>0</v>
      </c>
      <c r="P48" s="3">
        <f>148630.14+134246.58</f>
        <v>282876.72</v>
      </c>
      <c r="Q48" s="17">
        <f>148630.14+134246.58</f>
        <v>282876.72</v>
      </c>
      <c r="R48" s="6">
        <f>O48+P48-Q48</f>
        <v>0</v>
      </c>
      <c r="S48" s="6">
        <f>L48+O48+P48-Q48</f>
        <v>0</v>
      </c>
      <c r="T48" s="25"/>
    </row>
    <row r="49" spans="1:20" ht="69" customHeight="1">
      <c r="A49" s="152">
        <v>4</v>
      </c>
      <c r="B49" s="42" t="s">
        <v>23</v>
      </c>
      <c r="C49" s="145" t="s">
        <v>77</v>
      </c>
      <c r="D49" s="132" t="s">
        <v>58</v>
      </c>
      <c r="E49" s="17">
        <v>80000000</v>
      </c>
      <c r="F49" s="158">
        <v>43439</v>
      </c>
      <c r="G49" s="191">
        <v>15.5</v>
      </c>
      <c r="H49" s="133" t="s">
        <v>28</v>
      </c>
      <c r="I49" s="159">
        <v>8000000</v>
      </c>
      <c r="J49" s="159"/>
      <c r="K49" s="159">
        <v>8000000</v>
      </c>
      <c r="L49" s="6">
        <f>I49+J49-K49</f>
        <v>0</v>
      </c>
      <c r="M49" s="6">
        <f>L49</f>
        <v>0</v>
      </c>
      <c r="N49" s="3"/>
      <c r="O49" s="3"/>
      <c r="P49" s="3">
        <f>105315.07+95123.29</f>
        <v>200438.36</v>
      </c>
      <c r="Q49" s="17">
        <f>105315.07+95123.29</f>
        <v>200438.36</v>
      </c>
      <c r="R49" s="6">
        <f>O49+P49-Q49</f>
        <v>0</v>
      </c>
      <c r="S49" s="6">
        <f>L49+O49+P49-Q49</f>
        <v>0</v>
      </c>
      <c r="T49" s="25"/>
    </row>
    <row r="50" spans="1:20" ht="16.5" customHeight="1" thickBot="1">
      <c r="A50" s="95" t="s">
        <v>21</v>
      </c>
      <c r="B50" s="143"/>
      <c r="C50" s="143"/>
      <c r="D50" s="14"/>
      <c r="E50" s="14"/>
      <c r="F50" s="14"/>
      <c r="G50" s="14"/>
      <c r="H50" s="14"/>
      <c r="I50" s="4">
        <f>I46+I47+I48+I49</f>
        <v>27000000</v>
      </c>
      <c r="J50" s="4">
        <f aca="true" t="shared" si="5" ref="J50:S50">J46+J47+J48+J49</f>
        <v>0</v>
      </c>
      <c r="K50" s="4">
        <f t="shared" si="5"/>
        <v>27000000</v>
      </c>
      <c r="L50" s="1">
        <f t="shared" si="5"/>
        <v>0</v>
      </c>
      <c r="M50" s="1">
        <f t="shared" si="5"/>
        <v>0</v>
      </c>
      <c r="N50" s="1">
        <f t="shared" si="5"/>
        <v>0</v>
      </c>
      <c r="O50" s="1">
        <f t="shared" si="5"/>
        <v>0</v>
      </c>
      <c r="P50" s="1">
        <f t="shared" si="5"/>
        <v>733589.0499999999</v>
      </c>
      <c r="Q50" s="1">
        <f t="shared" si="5"/>
        <v>733589.0499999999</v>
      </c>
      <c r="R50" s="1">
        <f t="shared" si="5"/>
        <v>0</v>
      </c>
      <c r="S50" s="1">
        <f t="shared" si="5"/>
        <v>0</v>
      </c>
      <c r="T50" s="1">
        <f>T46+T47+T48</f>
        <v>0</v>
      </c>
    </row>
    <row r="51" spans="1:36" s="83" customFormat="1" ht="18" customHeight="1" thickBot="1">
      <c r="A51" s="101" t="s">
        <v>5</v>
      </c>
      <c r="B51" s="102" t="s">
        <v>22</v>
      </c>
      <c r="C51" s="102"/>
      <c r="D51" s="148"/>
      <c r="E51" s="148"/>
      <c r="F51" s="148"/>
      <c r="G51" s="148"/>
      <c r="H51" s="148"/>
      <c r="I51" s="148"/>
      <c r="J51" s="143"/>
      <c r="K51" s="143"/>
      <c r="L51" s="143"/>
      <c r="M51" s="143"/>
      <c r="N51" s="143"/>
      <c r="O51" s="143"/>
      <c r="P51" s="143"/>
      <c r="Q51" s="151"/>
      <c r="R51" s="143"/>
      <c r="S51" s="149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</row>
    <row r="52" spans="1:36" s="83" customFormat="1" ht="69.75" customHeight="1" hidden="1">
      <c r="A52" s="101"/>
      <c r="B52" s="103"/>
      <c r="C52" s="104"/>
      <c r="D52" s="104"/>
      <c r="E52" s="105"/>
      <c r="F52" s="104"/>
      <c r="G52" s="190"/>
      <c r="H52" s="46"/>
      <c r="I52" s="62"/>
      <c r="J52" s="62"/>
      <c r="K52" s="33"/>
      <c r="L52" s="62"/>
      <c r="M52" s="32"/>
      <c r="N52" s="21"/>
      <c r="O52" s="21"/>
      <c r="P52" s="21"/>
      <c r="Q52" s="150"/>
      <c r="R52" s="62"/>
      <c r="S52" s="62"/>
      <c r="T52" s="82"/>
      <c r="U52" s="106"/>
      <c r="V52" s="106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</row>
    <row r="53" spans="1:36" s="83" customFormat="1" ht="18" customHeight="1" thickBot="1">
      <c r="A53" s="107" t="s">
        <v>21</v>
      </c>
      <c r="B53" s="108"/>
      <c r="C53" s="109"/>
      <c r="D53" s="109"/>
      <c r="E53" s="110"/>
      <c r="F53" s="111"/>
      <c r="G53" s="111"/>
      <c r="H53" s="104"/>
      <c r="I53" s="34">
        <f>I52</f>
        <v>0</v>
      </c>
      <c r="J53" s="34">
        <f>J52</f>
        <v>0</v>
      </c>
      <c r="K53" s="34">
        <f>K52</f>
        <v>0</v>
      </c>
      <c r="L53" s="34">
        <f>L52</f>
        <v>0</v>
      </c>
      <c r="M53" s="34">
        <f>M52</f>
        <v>0</v>
      </c>
      <c r="N53" s="22">
        <v>3</v>
      </c>
      <c r="O53" s="22">
        <v>0</v>
      </c>
      <c r="P53" s="22">
        <v>0</v>
      </c>
      <c r="Q53" s="22">
        <v>0</v>
      </c>
      <c r="R53" s="34">
        <f>L53</f>
        <v>0</v>
      </c>
      <c r="S53" s="34">
        <f>R53</f>
        <v>0</v>
      </c>
      <c r="T53" s="82"/>
      <c r="U53" s="11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</row>
    <row r="54" spans="1:21" ht="16.5" customHeight="1" thickBot="1">
      <c r="A54" s="113"/>
      <c r="B54" s="20" t="s">
        <v>16</v>
      </c>
      <c r="C54" s="19"/>
      <c r="D54" s="19"/>
      <c r="E54" s="19"/>
      <c r="F54" s="100"/>
      <c r="G54" s="100"/>
      <c r="H54" s="114"/>
      <c r="I54" s="23">
        <f>I44+I52+I50</f>
        <v>134985000</v>
      </c>
      <c r="J54" s="23">
        <f aca="true" t="shared" si="6" ref="J54:S54">J44+J52+J50</f>
        <v>21400000</v>
      </c>
      <c r="K54" s="23">
        <f t="shared" si="6"/>
        <v>30023000</v>
      </c>
      <c r="L54" s="23">
        <f>L44+L52+L50</f>
        <v>126362000</v>
      </c>
      <c r="M54" s="23">
        <f t="shared" si="6"/>
        <v>126362000</v>
      </c>
      <c r="N54" s="23">
        <f t="shared" si="6"/>
        <v>0</v>
      </c>
      <c r="O54" s="23">
        <f t="shared" si="6"/>
        <v>216818.72000000003</v>
      </c>
      <c r="P54" s="23">
        <f t="shared" si="6"/>
        <v>2210441.63</v>
      </c>
      <c r="Q54" s="23">
        <f t="shared" si="6"/>
        <v>2300313.8</v>
      </c>
      <c r="R54" s="23">
        <f t="shared" si="6"/>
        <v>126946.54999999999</v>
      </c>
      <c r="S54" s="23">
        <f t="shared" si="6"/>
        <v>126488946.55</v>
      </c>
      <c r="T54" s="25"/>
      <c r="U54" s="115"/>
    </row>
    <row r="55" spans="1:20" ht="16.5" customHeight="1">
      <c r="A55" s="25"/>
      <c r="B55" s="82"/>
      <c r="C55" s="10"/>
      <c r="D55" s="10"/>
      <c r="E55" s="10"/>
      <c r="F55" s="10"/>
      <c r="G55" s="10"/>
      <c r="H55" s="10"/>
      <c r="I55" s="24"/>
      <c r="J55" s="24"/>
      <c r="K55" s="24"/>
      <c r="L55" s="24"/>
      <c r="M55" s="24"/>
      <c r="N55" s="40"/>
      <c r="O55" s="24"/>
      <c r="P55" s="24"/>
      <c r="Q55" s="24"/>
      <c r="R55" s="24"/>
      <c r="S55" s="24"/>
      <c r="T55" s="25"/>
    </row>
    <row r="56" spans="1:20" ht="16.5" customHeight="1">
      <c r="A56" s="25"/>
      <c r="B56" s="10" t="s">
        <v>36</v>
      </c>
      <c r="C56" s="10"/>
      <c r="D56" s="10"/>
      <c r="E56" s="10"/>
      <c r="F56" s="10"/>
      <c r="G56" s="10"/>
      <c r="H56" s="10"/>
      <c r="I56" s="24" t="s">
        <v>45</v>
      </c>
      <c r="J56" s="24"/>
      <c r="K56" s="24"/>
      <c r="L56" s="24"/>
      <c r="M56" s="24"/>
      <c r="N56" s="40"/>
      <c r="O56" s="24"/>
      <c r="P56" s="24"/>
      <c r="Q56" s="40"/>
      <c r="R56" s="24"/>
      <c r="S56" s="24"/>
      <c r="T56" s="25"/>
    </row>
    <row r="57" spans="1:20" ht="16.5" customHeight="1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24"/>
      <c r="R57" s="10"/>
      <c r="S57" s="10"/>
      <c r="T57" s="25"/>
    </row>
    <row r="58" spans="1:20" ht="15.75" customHeight="1">
      <c r="A58" s="25"/>
      <c r="B58" s="10" t="s">
        <v>27</v>
      </c>
      <c r="C58" s="10"/>
      <c r="D58" s="116"/>
      <c r="E58" s="117"/>
      <c r="F58" s="117"/>
      <c r="G58" s="117"/>
      <c r="H58" s="117"/>
      <c r="I58" s="35" t="s">
        <v>67</v>
      </c>
      <c r="J58" s="35"/>
      <c r="K58" s="35"/>
      <c r="L58" s="35"/>
      <c r="M58" s="35"/>
      <c r="N58" s="10"/>
      <c r="O58" s="10"/>
      <c r="P58" s="10"/>
      <c r="Q58" s="10"/>
      <c r="R58" s="10"/>
      <c r="S58" s="10"/>
      <c r="T58" s="25"/>
    </row>
    <row r="59" spans="1:20" ht="15.75" customHeight="1">
      <c r="A59" s="25"/>
      <c r="B59" s="10" t="s">
        <v>26</v>
      </c>
      <c r="C59" s="10"/>
      <c r="D59" s="116"/>
      <c r="E59" s="117"/>
      <c r="F59" s="117"/>
      <c r="G59" s="117"/>
      <c r="H59" s="117"/>
      <c r="I59" s="35"/>
      <c r="J59" s="35"/>
      <c r="K59" s="35"/>
      <c r="L59" s="118"/>
      <c r="M59" s="118"/>
      <c r="N59" s="10"/>
      <c r="O59" s="10"/>
      <c r="P59" s="10"/>
      <c r="Q59" s="10"/>
      <c r="R59" s="10"/>
      <c r="S59" s="10"/>
      <c r="T59" s="25"/>
    </row>
    <row r="60" spans="1:20" ht="12.75">
      <c r="A60" s="25"/>
      <c r="B60" s="10"/>
      <c r="C60" s="10"/>
      <c r="D60" s="39"/>
      <c r="E60" s="10"/>
      <c r="F60" s="10"/>
      <c r="G60" s="10"/>
      <c r="H60" s="10"/>
      <c r="I60" s="36"/>
      <c r="J60" s="36"/>
      <c r="K60" s="36"/>
      <c r="L60" s="36"/>
      <c r="M60" s="36"/>
      <c r="N60" s="10"/>
      <c r="O60" s="10"/>
      <c r="P60" s="10"/>
      <c r="Q60" s="10"/>
      <c r="R60" s="10"/>
      <c r="S60" s="10"/>
      <c r="T60" s="25"/>
    </row>
    <row r="61" spans="1:20" ht="0.75" customHeight="1">
      <c r="A61" s="25"/>
      <c r="B61" s="10"/>
      <c r="C61" s="10"/>
      <c r="D61" s="39"/>
      <c r="E61" s="10"/>
      <c r="F61" s="10"/>
      <c r="G61" s="10"/>
      <c r="H61" s="10"/>
      <c r="I61" s="119"/>
      <c r="J61" s="36"/>
      <c r="K61" s="36"/>
      <c r="L61" s="36"/>
      <c r="M61" s="36"/>
      <c r="N61" s="10"/>
      <c r="O61" s="10"/>
      <c r="P61" s="10"/>
      <c r="Q61" s="10"/>
      <c r="R61" s="10"/>
      <c r="S61" s="10"/>
      <c r="T61" s="25"/>
    </row>
    <row r="62" spans="1:20" ht="14.25" customHeight="1" hidden="1">
      <c r="A62" s="25"/>
      <c r="B62" s="10"/>
      <c r="C62" s="10"/>
      <c r="D62" s="39"/>
      <c r="E62" s="10"/>
      <c r="F62" s="10"/>
      <c r="G62" s="10"/>
      <c r="H62" s="10"/>
      <c r="I62" s="36"/>
      <c r="J62" s="36"/>
      <c r="K62" s="36"/>
      <c r="L62" s="36"/>
      <c r="M62" s="36"/>
      <c r="N62" s="10"/>
      <c r="O62" s="10"/>
      <c r="P62" s="10"/>
      <c r="Q62" s="10"/>
      <c r="R62" s="10"/>
      <c r="S62" s="10"/>
      <c r="T62" s="25"/>
    </row>
    <row r="63" spans="1:20" ht="13.5" customHeight="1" hidden="1">
      <c r="A63" s="25"/>
      <c r="B63" s="10"/>
      <c r="C63" s="10"/>
      <c r="D63" s="10"/>
      <c r="E63" s="10"/>
      <c r="F63" s="10"/>
      <c r="G63" s="10"/>
      <c r="H63" s="10"/>
      <c r="I63" s="37"/>
      <c r="J63" s="37"/>
      <c r="K63" s="37"/>
      <c r="L63" s="37"/>
      <c r="M63" s="37"/>
      <c r="N63" s="10"/>
      <c r="O63" s="10"/>
      <c r="P63" s="10"/>
      <c r="Q63" s="10"/>
      <c r="R63" s="10"/>
      <c r="S63" s="10"/>
      <c r="T63" s="25"/>
    </row>
    <row r="64" spans="2:19" s="25" customFormat="1" ht="12.75" customHeight="1">
      <c r="B64" s="10" t="s">
        <v>14</v>
      </c>
      <c r="C64" s="39"/>
      <c r="D64" s="120"/>
      <c r="E64" s="121"/>
      <c r="F64" s="10"/>
      <c r="G64" s="10"/>
      <c r="H64" s="10"/>
      <c r="I64" s="37"/>
      <c r="J64" s="37"/>
      <c r="K64" s="37"/>
      <c r="L64" s="37"/>
      <c r="M64" s="37"/>
      <c r="N64" s="10"/>
      <c r="O64" s="10"/>
      <c r="P64" s="10"/>
      <c r="Q64" s="10"/>
      <c r="R64" s="10"/>
      <c r="S64" s="10"/>
    </row>
    <row r="65" spans="1:19" s="25" customFormat="1" ht="9.75" customHeight="1">
      <c r="A65" s="122"/>
      <c r="B65" s="123" t="s">
        <v>20</v>
      </c>
      <c r="C65" s="10"/>
      <c r="D65" s="10"/>
      <c r="E65" s="124"/>
      <c r="F65" s="124"/>
      <c r="G65" s="124"/>
      <c r="H65" s="125"/>
      <c r="I65" s="38"/>
      <c r="J65" s="38"/>
      <c r="K65" s="38"/>
      <c r="L65" s="38"/>
      <c r="M65" s="38"/>
      <c r="N65" s="10"/>
      <c r="O65" s="10"/>
      <c r="P65" s="10"/>
      <c r="Q65" s="10"/>
      <c r="R65" s="10"/>
      <c r="S65" s="10"/>
    </row>
    <row r="66" spans="2:19" s="25" customFormat="1" ht="12.75">
      <c r="B66" s="39"/>
      <c r="C66" s="10"/>
      <c r="D66" s="116"/>
      <c r="E66" s="38"/>
      <c r="F66" s="38"/>
      <c r="G66" s="38"/>
      <c r="H66" s="38"/>
      <c r="I66" s="35"/>
      <c r="J66" s="35"/>
      <c r="K66" s="35"/>
      <c r="L66" s="35"/>
      <c r="M66" s="35"/>
      <c r="N66" s="10"/>
      <c r="O66" s="10"/>
      <c r="P66" s="10"/>
      <c r="Q66" s="10"/>
      <c r="R66" s="10"/>
      <c r="S66" s="10"/>
    </row>
    <row r="67" spans="2:19" s="25" customFormat="1" ht="12.75">
      <c r="B67" s="10"/>
      <c r="C67" s="10"/>
      <c r="D67" s="116"/>
      <c r="E67" s="38"/>
      <c r="F67" s="38"/>
      <c r="G67" s="38"/>
      <c r="H67" s="38"/>
      <c r="I67" s="35"/>
      <c r="J67" s="35"/>
      <c r="K67" s="35"/>
      <c r="L67" s="35"/>
      <c r="M67" s="35"/>
      <c r="N67" s="10"/>
      <c r="O67" s="10"/>
      <c r="P67" s="10"/>
      <c r="Q67" s="10"/>
      <c r="R67" s="10"/>
      <c r="S67" s="10"/>
    </row>
    <row r="68" spans="2:19" s="25" customFormat="1" ht="12.75">
      <c r="B68" s="10"/>
      <c r="C68" s="10"/>
      <c r="D68" s="116"/>
      <c r="E68" s="38"/>
      <c r="F68" s="38"/>
      <c r="G68" s="38"/>
      <c r="H68" s="38"/>
      <c r="I68" s="35"/>
      <c r="J68" s="35"/>
      <c r="K68" s="35"/>
      <c r="L68" s="35"/>
      <c r="M68" s="35"/>
      <c r="N68" s="10"/>
      <c r="O68" s="10"/>
      <c r="P68" s="10"/>
      <c r="Q68" s="10"/>
      <c r="R68" s="10"/>
      <c r="S68" s="10"/>
    </row>
    <row r="69" spans="2:19" s="25" customFormat="1" ht="12.75">
      <c r="B69" s="10"/>
      <c r="C69" s="10"/>
      <c r="D69" s="116"/>
      <c r="E69" s="38"/>
      <c r="F69" s="38"/>
      <c r="G69" s="38"/>
      <c r="H69" s="38"/>
      <c r="I69" s="35"/>
      <c r="J69" s="35"/>
      <c r="K69" s="35"/>
      <c r="L69" s="35"/>
      <c r="M69" s="35"/>
      <c r="N69" s="10"/>
      <c r="O69" s="10"/>
      <c r="P69" s="10"/>
      <c r="Q69" s="10"/>
      <c r="R69" s="10"/>
      <c r="S69" s="10"/>
    </row>
    <row r="70" spans="2:19" s="25" customFormat="1" ht="12.75">
      <c r="B70" s="10"/>
      <c r="C70" s="10"/>
      <c r="D70" s="116"/>
      <c r="E70" s="38"/>
      <c r="F70" s="126"/>
      <c r="G70" s="126"/>
      <c r="H70" s="126"/>
      <c r="I70" s="35"/>
      <c r="J70" s="35"/>
      <c r="K70" s="35"/>
      <c r="L70" s="35"/>
      <c r="M70" s="35"/>
      <c r="N70" s="10"/>
      <c r="O70" s="10"/>
      <c r="P70" s="10"/>
      <c r="Q70" s="10"/>
      <c r="R70" s="10"/>
      <c r="S70" s="10"/>
    </row>
    <row r="71" spans="1:19" s="25" customFormat="1" ht="18.75">
      <c r="A71" s="122"/>
      <c r="B71" s="122"/>
      <c r="C71" s="127"/>
      <c r="D71" s="127"/>
      <c r="E71" s="127"/>
      <c r="F71" s="127"/>
      <c r="G71" s="127"/>
      <c r="H71" s="127"/>
      <c r="I71" s="39"/>
      <c r="J71" s="39"/>
      <c r="K71" s="39"/>
      <c r="L71" s="39"/>
      <c r="M71" s="39"/>
      <c r="N71" s="10"/>
      <c r="O71" s="10"/>
      <c r="P71" s="10"/>
      <c r="Q71" s="10"/>
      <c r="R71" s="10"/>
      <c r="S71" s="10"/>
    </row>
    <row r="72" spans="2:19" s="25" customFormat="1" ht="12.75">
      <c r="B72" s="10"/>
      <c r="C72" s="10"/>
      <c r="D72" s="116"/>
      <c r="E72" s="38"/>
      <c r="F72" s="38"/>
      <c r="G72" s="38"/>
      <c r="H72" s="38"/>
      <c r="I72" s="35"/>
      <c r="J72" s="35"/>
      <c r="K72" s="35"/>
      <c r="L72" s="35"/>
      <c r="M72" s="35"/>
      <c r="N72" s="10"/>
      <c r="O72" s="10"/>
      <c r="P72" s="10"/>
      <c r="Q72" s="10"/>
      <c r="R72" s="10"/>
      <c r="S72" s="10"/>
    </row>
    <row r="73" spans="2:19" s="25" customFormat="1" ht="12.75">
      <c r="B73" s="10"/>
      <c r="C73" s="10"/>
      <c r="D73" s="116"/>
      <c r="E73" s="38"/>
      <c r="F73" s="38"/>
      <c r="G73" s="38"/>
      <c r="H73" s="38"/>
      <c r="I73" s="35"/>
      <c r="J73" s="35"/>
      <c r="K73" s="35"/>
      <c r="L73" s="35"/>
      <c r="M73" s="35"/>
      <c r="N73" s="10"/>
      <c r="O73" s="10"/>
      <c r="P73" s="10"/>
      <c r="Q73" s="10"/>
      <c r="R73" s="10"/>
      <c r="S73" s="10"/>
    </row>
    <row r="74" spans="2:19" s="25" customFormat="1" ht="12.75">
      <c r="B74" s="10"/>
      <c r="C74" s="10"/>
      <c r="D74" s="116"/>
      <c r="E74" s="38"/>
      <c r="F74" s="38"/>
      <c r="G74" s="38"/>
      <c r="H74" s="38"/>
      <c r="I74" s="35"/>
      <c r="J74" s="35"/>
      <c r="K74" s="35"/>
      <c r="L74" s="35"/>
      <c r="M74" s="35"/>
      <c r="N74" s="10"/>
      <c r="O74" s="10"/>
      <c r="P74" s="10"/>
      <c r="Q74" s="10"/>
      <c r="R74" s="10"/>
      <c r="S74" s="10"/>
    </row>
    <row r="75" spans="1:19" s="25" customFormat="1" ht="18.75">
      <c r="A75" s="128"/>
      <c r="B75" s="10"/>
      <c r="C75" s="10"/>
      <c r="D75" s="10"/>
      <c r="E75" s="125"/>
      <c r="F75" s="125"/>
      <c r="G75" s="125"/>
      <c r="H75" s="125"/>
      <c r="I75" s="38"/>
      <c r="J75" s="38"/>
      <c r="K75" s="38"/>
      <c r="L75" s="38"/>
      <c r="M75" s="38"/>
      <c r="N75" s="10"/>
      <c r="O75" s="10"/>
      <c r="P75" s="10"/>
      <c r="Q75" s="10"/>
      <c r="R75" s="10"/>
      <c r="S75" s="10"/>
    </row>
    <row r="76" spans="2:19" s="25" customFormat="1" ht="12.75">
      <c r="B76" s="10"/>
      <c r="C76" s="10"/>
      <c r="D76" s="116"/>
      <c r="E76" s="117"/>
      <c r="F76" s="129"/>
      <c r="G76" s="129"/>
      <c r="H76" s="129"/>
      <c r="I76" s="35"/>
      <c r="J76" s="35"/>
      <c r="K76" s="35"/>
      <c r="L76" s="35"/>
      <c r="M76" s="35"/>
      <c r="N76" s="10"/>
      <c r="O76" s="10"/>
      <c r="P76" s="10"/>
      <c r="Q76" s="10"/>
      <c r="R76" s="10"/>
      <c r="S76" s="10"/>
    </row>
    <row r="77" spans="2:19" s="25" customFormat="1" ht="12.75">
      <c r="B77" s="10"/>
      <c r="C77" s="10"/>
      <c r="D77" s="116"/>
      <c r="E77" s="117"/>
      <c r="F77" s="129"/>
      <c r="G77" s="129"/>
      <c r="H77" s="129"/>
      <c r="I77" s="35"/>
      <c r="J77" s="35"/>
      <c r="K77" s="35"/>
      <c r="L77" s="35"/>
      <c r="M77" s="35"/>
      <c r="N77" s="10"/>
      <c r="O77" s="10"/>
      <c r="P77" s="10"/>
      <c r="Q77" s="10"/>
      <c r="R77" s="10"/>
      <c r="S77" s="10"/>
    </row>
    <row r="78" spans="2:19" s="25" customFormat="1" ht="12.75">
      <c r="B78" s="10"/>
      <c r="C78" s="10"/>
      <c r="D78" s="116"/>
      <c r="E78" s="117"/>
      <c r="F78" s="129"/>
      <c r="G78" s="129"/>
      <c r="H78" s="129"/>
      <c r="I78" s="35"/>
      <c r="J78" s="35"/>
      <c r="K78" s="35"/>
      <c r="L78" s="35"/>
      <c r="M78" s="35"/>
      <c r="N78" s="10"/>
      <c r="O78" s="10"/>
      <c r="P78" s="10"/>
      <c r="Q78" s="10"/>
      <c r="R78" s="10"/>
      <c r="S78" s="10"/>
    </row>
    <row r="79" spans="1:19" s="25" customFormat="1" ht="18.75">
      <c r="A79" s="122"/>
      <c r="B79" s="122"/>
      <c r="C79" s="122"/>
      <c r="D79" s="122"/>
      <c r="E79" s="122"/>
      <c r="F79" s="122"/>
      <c r="G79" s="122"/>
      <c r="H79" s="130"/>
      <c r="I79" s="131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2:19" s="25" customFormat="1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2:19" s="25" customFormat="1" ht="12.75">
      <c r="B81" s="10"/>
      <c r="C81" s="10"/>
      <c r="D81" s="116"/>
      <c r="E81" s="117"/>
      <c r="F81" s="117"/>
      <c r="G81" s="117"/>
      <c r="H81" s="117"/>
      <c r="I81" s="35"/>
      <c r="J81" s="35"/>
      <c r="K81" s="35"/>
      <c r="L81" s="118"/>
      <c r="M81" s="118"/>
      <c r="N81" s="10"/>
      <c r="O81" s="10"/>
      <c r="P81" s="10"/>
      <c r="Q81" s="10"/>
      <c r="R81" s="10"/>
      <c r="S81" s="10"/>
    </row>
    <row r="82" spans="2:19" s="25" customFormat="1" ht="12.75">
      <c r="B82" s="10"/>
      <c r="C82" s="10"/>
      <c r="D82" s="39"/>
      <c r="E82" s="10"/>
      <c r="F82" s="10"/>
      <c r="G82" s="10"/>
      <c r="H82" s="10"/>
      <c r="I82" s="36"/>
      <c r="J82" s="36"/>
      <c r="K82" s="36"/>
      <c r="L82" s="36"/>
      <c r="M82" s="36"/>
      <c r="N82" s="10"/>
      <c r="O82" s="10"/>
      <c r="P82" s="10"/>
      <c r="R82" s="10"/>
      <c r="S82" s="10"/>
    </row>
    <row r="83" s="25" customFormat="1" ht="12.75">
      <c r="Q83" s="8"/>
    </row>
  </sheetData>
  <sheetProtection/>
  <mergeCells count="2">
    <mergeCell ref="C5:N5"/>
    <mergeCell ref="B10:S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81"/>
  <sheetViews>
    <sheetView zoomScalePageLayoutView="0" workbookViewId="0" topLeftCell="L37">
      <selection activeCell="T37" sqref="T1:BR1638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5.37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hidden="1" customWidth="1"/>
    <col min="21" max="21" width="12.875" style="8" hidden="1" customWidth="1"/>
    <col min="22" max="22" width="11.75390625" style="8" hidden="1" customWidth="1"/>
    <col min="23" max="70" width="0" style="8" hidden="1" customWidth="1"/>
    <col min="71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40</v>
      </c>
      <c r="J8" s="11" t="s">
        <v>54</v>
      </c>
      <c r="K8" s="11" t="s">
        <v>82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8">H23+I23-J23</f>
        <v>0</v>
      </c>
      <c r="L23" s="47">
        <f aca="true" t="shared" si="1" ref="L23:L38">K23</f>
        <v>0</v>
      </c>
      <c r="M23" s="7"/>
      <c r="N23" s="7"/>
      <c r="O23" s="5"/>
      <c r="P23" s="7"/>
      <c r="Q23" s="6">
        <f aca="true" t="shared" si="2" ref="Q23:Q38">N23+O23-P23</f>
        <v>0</v>
      </c>
      <c r="R23" s="48">
        <f aca="true" t="shared" si="3" ref="R23:R38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>
        <v>120000</v>
      </c>
      <c r="K25" s="53">
        <f t="shared" si="0"/>
        <v>719000</v>
      </c>
      <c r="L25" s="47">
        <f t="shared" si="1"/>
        <v>719000</v>
      </c>
      <c r="M25" s="7"/>
      <c r="N25" s="7">
        <v>71.06</v>
      </c>
      <c r="O25" s="5">
        <f>63.04</f>
        <v>63.04</v>
      </c>
      <c r="P25" s="7">
        <f>71.06</f>
        <v>71.06</v>
      </c>
      <c r="Q25" s="6">
        <f t="shared" si="2"/>
        <v>63.03999999999999</v>
      </c>
      <c r="R25" s="48">
        <f t="shared" si="3"/>
        <v>719063.04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>
        <v>312000</v>
      </c>
      <c r="K26" s="53">
        <f t="shared" si="0"/>
        <v>1872000</v>
      </c>
      <c r="L26" s="47">
        <f t="shared" si="1"/>
        <v>1872000</v>
      </c>
      <c r="M26" s="7"/>
      <c r="N26" s="7">
        <v>184.98</v>
      </c>
      <c r="O26" s="5">
        <f>164.12</f>
        <v>164.12</v>
      </c>
      <c r="P26" s="7">
        <f>184.98</f>
        <v>184.98</v>
      </c>
      <c r="Q26" s="6">
        <f t="shared" si="2"/>
        <v>164.12000000000003</v>
      </c>
      <c r="R26" s="48">
        <f t="shared" si="3"/>
        <v>1872164.12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47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47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7107000</v>
      </c>
      <c r="I29" s="167">
        <f>-(5523000+1584000)</f>
        <v>-7107000</v>
      </c>
      <c r="J29" s="32"/>
      <c r="K29" s="53">
        <f t="shared" si="0"/>
        <v>0</v>
      </c>
      <c r="L29" s="47">
        <f t="shared" si="1"/>
        <v>0</v>
      </c>
      <c r="M29" s="7"/>
      <c r="N29" s="7">
        <v>4471.68</v>
      </c>
      <c r="O29" s="5">
        <f>4483.94</f>
        <v>4483.94</v>
      </c>
      <c r="P29" s="7">
        <f>4471.68</f>
        <v>4471.68</v>
      </c>
      <c r="Q29" s="6">
        <f t="shared" si="2"/>
        <v>4483.939999999999</v>
      </c>
      <c r="R29" s="48">
        <f t="shared" si="3"/>
        <v>4483.939999999999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65"/>
      <c r="G30" s="166"/>
      <c r="H30" s="167"/>
      <c r="I30" s="167">
        <v>5523000</v>
      </c>
      <c r="J30" s="167"/>
      <c r="K30" s="168">
        <f t="shared" si="0"/>
        <v>5523000</v>
      </c>
      <c r="L30" s="160">
        <f t="shared" si="1"/>
        <v>5523000</v>
      </c>
      <c r="M30" s="169"/>
      <c r="N30" s="169"/>
      <c r="O30" s="170"/>
      <c r="P30" s="169"/>
      <c r="Q30" s="6">
        <f t="shared" si="2"/>
        <v>0</v>
      </c>
      <c r="R30" s="48">
        <f t="shared" si="3"/>
        <v>5523000</v>
      </c>
      <c r="S30" s="171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5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45" t="s">
        <v>47</v>
      </c>
      <c r="G31" s="46" t="s">
        <v>28</v>
      </c>
      <c r="H31" s="32">
        <v>5055000</v>
      </c>
      <c r="I31" s="167">
        <f>-(2723000+2332000)</f>
        <v>-5055000</v>
      </c>
      <c r="J31" s="32"/>
      <c r="K31" s="53">
        <f t="shared" si="0"/>
        <v>0</v>
      </c>
      <c r="L31" s="47">
        <f t="shared" si="1"/>
        <v>0</v>
      </c>
      <c r="M31" s="7"/>
      <c r="N31" s="7">
        <v>6583.31</v>
      </c>
      <c r="O31" s="5">
        <f>6601.35</f>
        <v>6601.35</v>
      </c>
      <c r="P31" s="7">
        <f>6583.31</f>
        <v>6583.31</v>
      </c>
      <c r="Q31" s="6">
        <f t="shared" si="2"/>
        <v>6601.349999999999</v>
      </c>
      <c r="R31" s="48">
        <f t="shared" si="3"/>
        <v>6601.349999999999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73" customFormat="1" ht="66.75" customHeight="1">
      <c r="A32" s="161"/>
      <c r="B32" s="162"/>
      <c r="C32" s="163" t="s">
        <v>103</v>
      </c>
      <c r="D32" s="163"/>
      <c r="E32" s="164"/>
      <c r="F32" s="165"/>
      <c r="G32" s="166"/>
      <c r="H32" s="167"/>
      <c r="I32" s="167">
        <v>2723000</v>
      </c>
      <c r="J32" s="167"/>
      <c r="K32" s="168">
        <f t="shared" si="0"/>
        <v>2723000</v>
      </c>
      <c r="L32" s="160">
        <f t="shared" si="1"/>
        <v>2723000</v>
      </c>
      <c r="M32" s="169"/>
      <c r="N32" s="169"/>
      <c r="O32" s="170"/>
      <c r="P32" s="169"/>
      <c r="Q32" s="6">
        <f t="shared" si="2"/>
        <v>0</v>
      </c>
      <c r="R32" s="48">
        <f t="shared" si="3"/>
        <v>2723000</v>
      </c>
      <c r="S32" s="171"/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45" t="s">
        <v>51</v>
      </c>
      <c r="G33" s="46" t="s">
        <v>28</v>
      </c>
      <c r="H33" s="32">
        <v>6000000</v>
      </c>
      <c r="I33" s="32">
        <v>-6000000</v>
      </c>
      <c r="J33" s="32"/>
      <c r="K33" s="53">
        <f t="shared" si="0"/>
        <v>0</v>
      </c>
      <c r="L33" s="47">
        <f t="shared" si="1"/>
        <v>0</v>
      </c>
      <c r="M33" s="7"/>
      <c r="N33" s="7">
        <v>16938.2</v>
      </c>
      <c r="O33" s="5">
        <f>16984.6</f>
        <v>16984.6</v>
      </c>
      <c r="P33" s="94">
        <f>16938.2</f>
        <v>16938.2</v>
      </c>
      <c r="Q33" s="6">
        <f t="shared" si="2"/>
        <v>16984.600000000002</v>
      </c>
      <c r="R33" s="48">
        <f t="shared" si="3"/>
        <v>16984.600000000002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93" t="s">
        <v>53</v>
      </c>
      <c r="G34" s="133" t="s">
        <v>28</v>
      </c>
      <c r="H34" s="6">
        <v>10000000</v>
      </c>
      <c r="I34" s="6">
        <v>-10000000</v>
      </c>
      <c r="J34" s="6"/>
      <c r="K34" s="47">
        <f t="shared" si="0"/>
        <v>0</v>
      </c>
      <c r="L34" s="47">
        <f t="shared" si="1"/>
        <v>0</v>
      </c>
      <c r="M34" s="7"/>
      <c r="N34" s="7">
        <v>28230.33</v>
      </c>
      <c r="O34" s="134">
        <f>28307.67</f>
        <v>28307.67</v>
      </c>
      <c r="P34" s="135">
        <f>28230.33</f>
        <v>28230.33</v>
      </c>
      <c r="Q34" s="6">
        <f t="shared" si="2"/>
        <v>28307.67</v>
      </c>
      <c r="R34" s="48">
        <f t="shared" si="3"/>
        <v>28307.67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45"/>
      <c r="G35" s="133" t="s">
        <v>28</v>
      </c>
      <c r="H35" s="44">
        <v>10000000</v>
      </c>
      <c r="I35" s="44"/>
      <c r="J35" s="32"/>
      <c r="K35" s="47">
        <f t="shared" si="0"/>
        <v>10000000</v>
      </c>
      <c r="L35" s="47">
        <f t="shared" si="1"/>
        <v>10000000</v>
      </c>
      <c r="M35" s="4"/>
      <c r="N35" s="4">
        <v>28230.33</v>
      </c>
      <c r="O35" s="5">
        <f>28307.67</f>
        <v>28307.67</v>
      </c>
      <c r="P35" s="94">
        <f>28230.33</f>
        <v>28230.33</v>
      </c>
      <c r="Q35" s="6">
        <f t="shared" si="2"/>
        <v>28307.67</v>
      </c>
      <c r="R35" s="48">
        <f t="shared" si="3"/>
        <v>10028307.67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/>
      <c r="G36" s="46" t="s">
        <v>28</v>
      </c>
      <c r="H36" s="44">
        <v>0</v>
      </c>
      <c r="I36" s="44"/>
      <c r="J36" s="32"/>
      <c r="K36" s="53">
        <f t="shared" si="0"/>
        <v>0</v>
      </c>
      <c r="L36" s="53">
        <f t="shared" si="1"/>
        <v>0</v>
      </c>
      <c r="M36" s="4"/>
      <c r="N36" s="4"/>
      <c r="O36" s="5">
        <v>0</v>
      </c>
      <c r="P36" s="94"/>
      <c r="Q36" s="6"/>
      <c r="R36" s="48">
        <f t="shared" si="3"/>
        <v>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45" t="s">
        <v>60</v>
      </c>
      <c r="G37" s="46" t="s">
        <v>28</v>
      </c>
      <c r="H37" s="137">
        <v>6500000</v>
      </c>
      <c r="I37" s="137"/>
      <c r="J37" s="138"/>
      <c r="K37" s="53">
        <f t="shared" si="0"/>
        <v>6500000</v>
      </c>
      <c r="L37" s="53">
        <f t="shared" si="1"/>
        <v>6500000</v>
      </c>
      <c r="M37" s="139"/>
      <c r="N37" s="139">
        <v>18349.71</v>
      </c>
      <c r="O37" s="5">
        <f>18399.99</f>
        <v>18399.99</v>
      </c>
      <c r="P37" s="140">
        <f>18349.71</f>
        <v>18349.71</v>
      </c>
      <c r="Q37" s="32">
        <f t="shared" si="2"/>
        <v>18399.989999999998</v>
      </c>
      <c r="R37" s="32">
        <f t="shared" si="3"/>
        <v>6518399.99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45" t="s">
        <v>60</v>
      </c>
      <c r="G38" s="46" t="s">
        <v>28</v>
      </c>
      <c r="H38" s="137">
        <v>12400000</v>
      </c>
      <c r="I38" s="137"/>
      <c r="J38" s="138"/>
      <c r="K38" s="153">
        <f t="shared" si="0"/>
        <v>12400000</v>
      </c>
      <c r="L38" s="153">
        <f t="shared" si="1"/>
        <v>12400000</v>
      </c>
      <c r="M38" s="139"/>
      <c r="N38" s="139">
        <v>35005.61</v>
      </c>
      <c r="O38" s="154">
        <f>35101.51</f>
        <v>35101.51</v>
      </c>
      <c r="P38" s="140">
        <f>35005.61</f>
        <v>35005.61</v>
      </c>
      <c r="Q38" s="32">
        <f t="shared" si="2"/>
        <v>35101.509999999995</v>
      </c>
      <c r="R38" s="32">
        <f t="shared" si="3"/>
        <v>12435101.51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66.75" customHeight="1">
      <c r="A39" s="50">
        <v>15</v>
      </c>
      <c r="B39" s="42" t="s">
        <v>15</v>
      </c>
      <c r="C39" s="52" t="s">
        <v>70</v>
      </c>
      <c r="D39" s="52" t="s">
        <v>34</v>
      </c>
      <c r="E39" s="44">
        <v>24800000</v>
      </c>
      <c r="F39" s="45" t="s">
        <v>71</v>
      </c>
      <c r="G39" s="46" t="s">
        <v>28</v>
      </c>
      <c r="H39" s="137">
        <v>24800000</v>
      </c>
      <c r="I39" s="174">
        <f>-(5756000+7084000)</f>
        <v>-12840000</v>
      </c>
      <c r="J39" s="138"/>
      <c r="K39" s="153">
        <f>H39+I39-J39</f>
        <v>11960000</v>
      </c>
      <c r="L39" s="153">
        <f>K39</f>
        <v>11960000</v>
      </c>
      <c r="M39" s="139"/>
      <c r="N39" s="139">
        <v>70011.21</v>
      </c>
      <c r="O39" s="154">
        <f>70203.02</f>
        <v>70203.02</v>
      </c>
      <c r="P39" s="140">
        <f>70011.21</f>
        <v>70011.21</v>
      </c>
      <c r="Q39" s="32">
        <f>N39+O39-P39</f>
        <v>70203.02</v>
      </c>
      <c r="R39" s="32">
        <f>K39+N39+O39-P39</f>
        <v>12030203.02</v>
      </c>
      <c r="S39" s="49"/>
      <c r="T39" s="49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66.75" customHeight="1">
      <c r="A40" s="50">
        <v>16</v>
      </c>
      <c r="B40" s="132" t="s">
        <v>15</v>
      </c>
      <c r="C40" s="43" t="s">
        <v>76</v>
      </c>
      <c r="D40" s="43" t="s">
        <v>34</v>
      </c>
      <c r="E40" s="2">
        <v>16000000</v>
      </c>
      <c r="F40" s="93" t="s">
        <v>78</v>
      </c>
      <c r="G40" s="46" t="s">
        <v>28</v>
      </c>
      <c r="H40" s="137">
        <v>16000000</v>
      </c>
      <c r="I40" s="174">
        <v>-4000000</v>
      </c>
      <c r="J40" s="138"/>
      <c r="K40" s="153">
        <f>H40+I40-J40</f>
        <v>12000000</v>
      </c>
      <c r="L40" s="153">
        <f>K40</f>
        <v>12000000</v>
      </c>
      <c r="M40" s="139"/>
      <c r="N40" s="139">
        <v>8742.3</v>
      </c>
      <c r="O40" s="154">
        <f>45292.27</f>
        <v>45292.27</v>
      </c>
      <c r="P40" s="140">
        <v>8742.3</v>
      </c>
      <c r="Q40" s="32">
        <f>N40+O40-P40</f>
        <v>45292.26999999999</v>
      </c>
      <c r="R40" s="32">
        <f>K40+N40+O40-P40</f>
        <v>12045292.27</v>
      </c>
      <c r="S40" s="49"/>
      <c r="T40" s="49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173" customFormat="1" ht="66.75" customHeight="1">
      <c r="A41" s="180">
        <v>17</v>
      </c>
      <c r="B41" s="162" t="s">
        <v>15</v>
      </c>
      <c r="C41" s="163" t="s">
        <v>105</v>
      </c>
      <c r="D41" s="163" t="s">
        <v>34</v>
      </c>
      <c r="E41" s="164">
        <v>36756000</v>
      </c>
      <c r="F41" s="165" t="s">
        <v>106</v>
      </c>
      <c r="G41" s="46" t="s">
        <v>28</v>
      </c>
      <c r="H41" s="174"/>
      <c r="I41" s="174">
        <v>36756000</v>
      </c>
      <c r="J41" s="175"/>
      <c r="K41" s="176">
        <f>H41+I41-J41</f>
        <v>36756000</v>
      </c>
      <c r="L41" s="176">
        <f>K41</f>
        <v>36756000</v>
      </c>
      <c r="M41" s="177"/>
      <c r="N41" s="177"/>
      <c r="O41" s="178"/>
      <c r="P41" s="179"/>
      <c r="Q41" s="175"/>
      <c r="R41" s="175"/>
      <c r="S41" s="171"/>
      <c r="T41" s="171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</row>
    <row r="42" spans="1:35" ht="15.75" customHeight="1" thickBot="1">
      <c r="A42" s="95" t="s">
        <v>21</v>
      </c>
      <c r="B42" s="18"/>
      <c r="C42" s="18"/>
      <c r="D42" s="96"/>
      <c r="E42" s="97"/>
      <c r="F42" s="98"/>
      <c r="G42" s="98"/>
      <c r="H42" s="136">
        <f>H23+H24+H25+H26+H27+H28+H29+H31+H33+H34+H35+H36+H37+H38+H39+H40+H30+H32+H41</f>
        <v>107985000</v>
      </c>
      <c r="I42" s="136">
        <f aca="true" t="shared" si="4" ref="I42:R42">I23+I24+I25+I26+I27+I28+I29+I31+I33+I34+I35+I36+I37+I38+I39+I40+I30+I32+I41</f>
        <v>0</v>
      </c>
      <c r="J42" s="136">
        <f t="shared" si="4"/>
        <v>432000</v>
      </c>
      <c r="K42" s="136">
        <f t="shared" si="4"/>
        <v>107553000</v>
      </c>
      <c r="L42" s="136">
        <f t="shared" si="4"/>
        <v>107553000</v>
      </c>
      <c r="M42" s="136">
        <f t="shared" si="4"/>
        <v>0</v>
      </c>
      <c r="N42" s="136">
        <f t="shared" si="4"/>
        <v>216818.72000000003</v>
      </c>
      <c r="O42" s="136">
        <f t="shared" si="4"/>
        <v>253909.18000000002</v>
      </c>
      <c r="P42" s="136">
        <f t="shared" si="4"/>
        <v>216818.72000000003</v>
      </c>
      <c r="Q42" s="136">
        <f t="shared" si="4"/>
        <v>253909.18000000002</v>
      </c>
      <c r="R42" s="136">
        <f t="shared" si="4"/>
        <v>71050909.17999999</v>
      </c>
      <c r="S42" s="136">
        <f>S23+S24+S25+S26+S27+S28+S29+S31+S33+S34+S35+S36+S37+S38+S39+S40</f>
        <v>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19" ht="16.5" customHeight="1" thickBot="1">
      <c r="A43" s="141" t="s">
        <v>19</v>
      </c>
      <c r="B43" s="142" t="s">
        <v>23</v>
      </c>
      <c r="C43" s="142"/>
      <c r="D43" s="142"/>
      <c r="E43" s="142"/>
      <c r="F43" s="142"/>
      <c r="G43" s="20"/>
      <c r="H43" s="10"/>
      <c r="I43" s="10"/>
      <c r="J43" s="10"/>
      <c r="K43" s="10"/>
      <c r="L43" s="99"/>
      <c r="M43" s="10"/>
      <c r="N43" s="10"/>
      <c r="O43" s="10"/>
      <c r="P43" s="146"/>
      <c r="Q43" s="10"/>
      <c r="R43" s="147"/>
      <c r="S43" s="25"/>
    </row>
    <row r="44" spans="1:19" ht="69" customHeight="1">
      <c r="A44" s="144">
        <v>1</v>
      </c>
      <c r="B44" s="42" t="s">
        <v>23</v>
      </c>
      <c r="C44" s="145" t="s">
        <v>57</v>
      </c>
      <c r="D44" s="132" t="s">
        <v>58</v>
      </c>
      <c r="E44" s="17">
        <v>9000000</v>
      </c>
      <c r="F44" s="132" t="s">
        <v>63</v>
      </c>
      <c r="G44" s="133" t="s">
        <v>28</v>
      </c>
      <c r="H44" s="3">
        <v>9000000</v>
      </c>
      <c r="I44" s="155"/>
      <c r="J44" s="3"/>
      <c r="K44" s="6">
        <f>H44+I44-J44</f>
        <v>9000000</v>
      </c>
      <c r="L44" s="6">
        <f>K44</f>
        <v>9000000</v>
      </c>
      <c r="M44" s="3"/>
      <c r="N44" s="3">
        <v>0</v>
      </c>
      <c r="O44" s="3">
        <f>133767.12</f>
        <v>133767.12</v>
      </c>
      <c r="P44" s="17">
        <f>133767.12</f>
        <v>133767.12</v>
      </c>
      <c r="Q44" s="6">
        <f>N44+O44-P44</f>
        <v>0</v>
      </c>
      <c r="R44" s="6">
        <f>K44+N44+O44-P44</f>
        <v>9000000</v>
      </c>
      <c r="S44" s="25"/>
    </row>
    <row r="45" spans="1:19" ht="69" customHeight="1">
      <c r="A45" s="152">
        <v>2</v>
      </c>
      <c r="B45" s="42" t="s">
        <v>23</v>
      </c>
      <c r="C45" s="145" t="s">
        <v>61</v>
      </c>
      <c r="D45" s="132" t="s">
        <v>58</v>
      </c>
      <c r="E45" s="17">
        <v>5000000</v>
      </c>
      <c r="F45" s="132" t="s">
        <v>62</v>
      </c>
      <c r="G45" s="133" t="s">
        <v>28</v>
      </c>
      <c r="H45" s="3"/>
      <c r="I45" s="155"/>
      <c r="J45" s="3"/>
      <c r="K45" s="6">
        <f>H45+I45-J45</f>
        <v>0</v>
      </c>
      <c r="L45" s="6">
        <f>K45</f>
        <v>0</v>
      </c>
      <c r="M45" s="3"/>
      <c r="N45" s="3">
        <v>0</v>
      </c>
      <c r="O45" s="17"/>
      <c r="P45" s="17"/>
      <c r="Q45" s="6">
        <f>N45+O45-P45</f>
        <v>0</v>
      </c>
      <c r="R45" s="6">
        <f>K45+N45+O45-P45</f>
        <v>0</v>
      </c>
      <c r="S45" s="25"/>
    </row>
    <row r="46" spans="1:19" ht="69" customHeight="1">
      <c r="A46" s="152">
        <v>3</v>
      </c>
      <c r="B46" s="42" t="s">
        <v>23</v>
      </c>
      <c r="C46" s="145" t="s">
        <v>68</v>
      </c>
      <c r="D46" s="132" t="s">
        <v>58</v>
      </c>
      <c r="E46" s="17"/>
      <c r="F46" s="132" t="s">
        <v>80</v>
      </c>
      <c r="G46" s="133" t="s">
        <v>28</v>
      </c>
      <c r="H46" s="155">
        <v>10000000</v>
      </c>
      <c r="I46" s="155"/>
      <c r="J46" s="3"/>
      <c r="K46" s="6">
        <f>H46+I46-J46</f>
        <v>10000000</v>
      </c>
      <c r="L46" s="6">
        <f>K46</f>
        <v>10000000</v>
      </c>
      <c r="M46" s="3"/>
      <c r="N46" s="3">
        <v>0</v>
      </c>
      <c r="O46" s="3">
        <f>148630.14</f>
        <v>148630.14</v>
      </c>
      <c r="P46" s="17">
        <f>148630.14</f>
        <v>148630.14</v>
      </c>
      <c r="Q46" s="6">
        <f>N46+O46-P46</f>
        <v>0</v>
      </c>
      <c r="R46" s="6">
        <f>K46+N46+O46-P46</f>
        <v>10000000</v>
      </c>
      <c r="S46" s="25"/>
    </row>
    <row r="47" spans="1:19" ht="69" customHeight="1">
      <c r="A47" s="152">
        <v>4</v>
      </c>
      <c r="B47" s="42" t="s">
        <v>23</v>
      </c>
      <c r="C47" s="145" t="s">
        <v>77</v>
      </c>
      <c r="D47" s="132" t="s">
        <v>58</v>
      </c>
      <c r="E47" s="17"/>
      <c r="F47" s="158">
        <v>43439</v>
      </c>
      <c r="G47" s="133"/>
      <c r="H47" s="155">
        <v>8000000</v>
      </c>
      <c r="I47" s="155"/>
      <c r="J47" s="3"/>
      <c r="K47" s="6">
        <f>H47+I47-J47</f>
        <v>8000000</v>
      </c>
      <c r="L47" s="6">
        <f>K47</f>
        <v>8000000</v>
      </c>
      <c r="M47" s="3"/>
      <c r="N47" s="3"/>
      <c r="O47" s="3">
        <f>105315.07</f>
        <v>105315.07</v>
      </c>
      <c r="P47" s="17">
        <f>105315.07</f>
        <v>105315.07</v>
      </c>
      <c r="Q47" s="6">
        <f>N47+O47-P47</f>
        <v>0</v>
      </c>
      <c r="R47" s="6">
        <f>K47+N47+O47-P47</f>
        <v>8000000</v>
      </c>
      <c r="S47" s="25"/>
    </row>
    <row r="48" spans="1:19" ht="16.5" customHeight="1" thickBot="1">
      <c r="A48" s="95" t="s">
        <v>21</v>
      </c>
      <c r="B48" s="143"/>
      <c r="C48" s="143"/>
      <c r="D48" s="14"/>
      <c r="E48" s="14"/>
      <c r="F48" s="14"/>
      <c r="G48" s="14"/>
      <c r="H48" s="1">
        <f>H44+H45+H46+H47</f>
        <v>27000000</v>
      </c>
      <c r="I48" s="1">
        <f aca="true" t="shared" si="5" ref="I48:R48">I44+I45+I46+I47</f>
        <v>0</v>
      </c>
      <c r="J48" s="1">
        <f t="shared" si="5"/>
        <v>0</v>
      </c>
      <c r="K48" s="1">
        <f t="shared" si="5"/>
        <v>27000000</v>
      </c>
      <c r="L48" s="1">
        <f t="shared" si="5"/>
        <v>27000000</v>
      </c>
      <c r="M48" s="1">
        <f t="shared" si="5"/>
        <v>0</v>
      </c>
      <c r="N48" s="1">
        <f t="shared" si="5"/>
        <v>0</v>
      </c>
      <c r="O48" s="1">
        <f t="shared" si="5"/>
        <v>387712.33</v>
      </c>
      <c r="P48" s="1">
        <f t="shared" si="5"/>
        <v>387712.33</v>
      </c>
      <c r="Q48" s="1">
        <f t="shared" si="5"/>
        <v>0</v>
      </c>
      <c r="R48" s="1">
        <f t="shared" si="5"/>
        <v>27000000</v>
      </c>
      <c r="S48" s="1">
        <f>S44+S45+S46</f>
        <v>0</v>
      </c>
    </row>
    <row r="49" spans="1:35" s="83" customFormat="1" ht="18" customHeight="1" thickBot="1">
      <c r="A49" s="101" t="s">
        <v>5</v>
      </c>
      <c r="B49" s="102" t="s">
        <v>22</v>
      </c>
      <c r="C49" s="102"/>
      <c r="D49" s="148"/>
      <c r="E49" s="148"/>
      <c r="F49" s="148"/>
      <c r="G49" s="148"/>
      <c r="H49" s="148"/>
      <c r="I49" s="143"/>
      <c r="J49" s="143"/>
      <c r="K49" s="143"/>
      <c r="L49" s="143"/>
      <c r="M49" s="143"/>
      <c r="N49" s="143"/>
      <c r="O49" s="143"/>
      <c r="P49" s="151"/>
      <c r="Q49" s="143"/>
      <c r="R49" s="149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s="83" customFormat="1" ht="69.75" customHeight="1" hidden="1">
      <c r="A50" s="101"/>
      <c r="B50" s="103"/>
      <c r="C50" s="104"/>
      <c r="D50" s="104"/>
      <c r="E50" s="105"/>
      <c r="F50" s="104"/>
      <c r="G50" s="46"/>
      <c r="H50" s="62"/>
      <c r="I50" s="62"/>
      <c r="J50" s="33"/>
      <c r="K50" s="62"/>
      <c r="L50" s="32"/>
      <c r="M50" s="21"/>
      <c r="N50" s="21"/>
      <c r="O50" s="21"/>
      <c r="P50" s="150"/>
      <c r="Q50" s="62"/>
      <c r="R50" s="62"/>
      <c r="S50" s="82"/>
      <c r="T50" s="106"/>
      <c r="U50" s="106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s="83" customFormat="1" ht="18" customHeight="1" thickBot="1">
      <c r="A51" s="107" t="s">
        <v>21</v>
      </c>
      <c r="B51" s="108"/>
      <c r="C51" s="109"/>
      <c r="D51" s="109"/>
      <c r="E51" s="110"/>
      <c r="F51" s="111"/>
      <c r="G51" s="104"/>
      <c r="H51" s="34">
        <f>H50</f>
        <v>0</v>
      </c>
      <c r="I51" s="34">
        <f>I50</f>
        <v>0</v>
      </c>
      <c r="J51" s="34">
        <f>J50</f>
        <v>0</v>
      </c>
      <c r="K51" s="34">
        <f>K50</f>
        <v>0</v>
      </c>
      <c r="L51" s="34">
        <f>L50</f>
        <v>0</v>
      </c>
      <c r="M51" s="22">
        <v>3</v>
      </c>
      <c r="N51" s="22">
        <v>0</v>
      </c>
      <c r="O51" s="22">
        <v>0</v>
      </c>
      <c r="P51" s="22">
        <v>0</v>
      </c>
      <c r="Q51" s="34">
        <f>K51</f>
        <v>0</v>
      </c>
      <c r="R51" s="34">
        <f>Q51</f>
        <v>0</v>
      </c>
      <c r="S51" s="82"/>
      <c r="T51" s="11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20" ht="16.5" customHeight="1" thickBot="1">
      <c r="A52" s="113"/>
      <c r="B52" s="20" t="s">
        <v>16</v>
      </c>
      <c r="C52" s="19"/>
      <c r="D52" s="19"/>
      <c r="E52" s="19"/>
      <c r="F52" s="100"/>
      <c r="G52" s="114"/>
      <c r="H52" s="23">
        <f>H42+H50+H48</f>
        <v>134985000</v>
      </c>
      <c r="I52" s="23">
        <f aca="true" t="shared" si="6" ref="I52:R52">I42+I50+I48</f>
        <v>0</v>
      </c>
      <c r="J52" s="23">
        <f t="shared" si="6"/>
        <v>432000</v>
      </c>
      <c r="K52" s="23">
        <f>K42+K50+K48</f>
        <v>134553000</v>
      </c>
      <c r="L52" s="23">
        <f t="shared" si="6"/>
        <v>134553000</v>
      </c>
      <c r="M52" s="23">
        <f t="shared" si="6"/>
        <v>0</v>
      </c>
      <c r="N52" s="23">
        <f t="shared" si="6"/>
        <v>216818.72000000003</v>
      </c>
      <c r="O52" s="23">
        <f t="shared" si="6"/>
        <v>641621.51</v>
      </c>
      <c r="P52" s="23">
        <f t="shared" si="6"/>
        <v>604531.05</v>
      </c>
      <c r="Q52" s="23">
        <f t="shared" si="6"/>
        <v>253909.18000000002</v>
      </c>
      <c r="R52" s="23">
        <f t="shared" si="6"/>
        <v>98050909.17999999</v>
      </c>
      <c r="S52" s="25"/>
      <c r="T52" s="115"/>
    </row>
    <row r="53" spans="1:19" ht="16.5" customHeight="1">
      <c r="A53" s="25"/>
      <c r="B53" s="82"/>
      <c r="C53" s="10"/>
      <c r="D53" s="10"/>
      <c r="E53" s="10"/>
      <c r="F53" s="10"/>
      <c r="G53" s="10"/>
      <c r="H53" s="24"/>
      <c r="I53" s="24"/>
      <c r="J53" s="24"/>
      <c r="K53" s="24"/>
      <c r="L53" s="24"/>
      <c r="M53" s="40"/>
      <c r="N53" s="24"/>
      <c r="O53" s="24"/>
      <c r="P53" s="24"/>
      <c r="Q53" s="24"/>
      <c r="R53" s="24"/>
      <c r="S53" s="25"/>
    </row>
    <row r="54" spans="1:19" ht="16.5" customHeight="1">
      <c r="A54" s="25"/>
      <c r="B54" s="10" t="s">
        <v>36</v>
      </c>
      <c r="C54" s="10"/>
      <c r="D54" s="10"/>
      <c r="E54" s="10"/>
      <c r="F54" s="10"/>
      <c r="G54" s="10"/>
      <c r="H54" s="24" t="s">
        <v>45</v>
      </c>
      <c r="I54" s="24"/>
      <c r="J54" s="24"/>
      <c r="K54" s="24"/>
      <c r="L54" s="24"/>
      <c r="M54" s="40"/>
      <c r="N54" s="24"/>
      <c r="O54" s="24"/>
      <c r="P54" s="40"/>
      <c r="Q54" s="24"/>
      <c r="R54" s="24"/>
      <c r="S54" s="25"/>
    </row>
    <row r="55" spans="1:19" ht="16.5" customHeight="1">
      <c r="A55" s="2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4"/>
      <c r="Q55" s="10"/>
      <c r="R55" s="10"/>
      <c r="S55" s="25"/>
    </row>
    <row r="56" spans="1:19" ht="15.75" customHeight="1">
      <c r="A56" s="25"/>
      <c r="B56" s="10" t="s">
        <v>27</v>
      </c>
      <c r="C56" s="10"/>
      <c r="D56" s="116"/>
      <c r="E56" s="117"/>
      <c r="F56" s="117"/>
      <c r="G56" s="117"/>
      <c r="H56" s="35" t="s">
        <v>67</v>
      </c>
      <c r="I56" s="35"/>
      <c r="J56" s="35"/>
      <c r="K56" s="35"/>
      <c r="L56" s="35"/>
      <c r="M56" s="10"/>
      <c r="N56" s="10"/>
      <c r="O56" s="10"/>
      <c r="P56" s="10"/>
      <c r="Q56" s="10"/>
      <c r="R56" s="10"/>
      <c r="S56" s="25"/>
    </row>
    <row r="57" spans="1:19" ht="15.75" customHeight="1">
      <c r="A57" s="25"/>
      <c r="B57" s="10" t="s">
        <v>26</v>
      </c>
      <c r="C57" s="10"/>
      <c r="D57" s="116"/>
      <c r="E57" s="117"/>
      <c r="F57" s="117"/>
      <c r="G57" s="117"/>
      <c r="H57" s="35"/>
      <c r="I57" s="35"/>
      <c r="J57" s="35"/>
      <c r="K57" s="118"/>
      <c r="L57" s="118"/>
      <c r="M57" s="10"/>
      <c r="N57" s="10"/>
      <c r="O57" s="10"/>
      <c r="P57" s="10"/>
      <c r="Q57" s="10"/>
      <c r="R57" s="10"/>
      <c r="S57" s="25"/>
    </row>
    <row r="58" spans="1:19" ht="12.75">
      <c r="A58" s="25"/>
      <c r="B58" s="10"/>
      <c r="C58" s="10"/>
      <c r="D58" s="39"/>
      <c r="E58" s="10"/>
      <c r="F58" s="10"/>
      <c r="G58" s="10"/>
      <c r="H58" s="36"/>
      <c r="I58" s="36"/>
      <c r="J58" s="36"/>
      <c r="K58" s="36"/>
      <c r="L58" s="36"/>
      <c r="M58" s="10"/>
      <c r="N58" s="10"/>
      <c r="O58" s="10"/>
      <c r="P58" s="10"/>
      <c r="Q58" s="10"/>
      <c r="R58" s="10"/>
      <c r="S58" s="25"/>
    </row>
    <row r="59" spans="1:19" ht="0.75" customHeight="1">
      <c r="A59" s="25"/>
      <c r="B59" s="10"/>
      <c r="C59" s="10"/>
      <c r="D59" s="39"/>
      <c r="E59" s="10"/>
      <c r="F59" s="10"/>
      <c r="G59" s="10"/>
      <c r="H59" s="119"/>
      <c r="I59" s="36"/>
      <c r="J59" s="36"/>
      <c r="K59" s="36"/>
      <c r="L59" s="36"/>
      <c r="M59" s="10"/>
      <c r="N59" s="10"/>
      <c r="O59" s="10"/>
      <c r="P59" s="10"/>
      <c r="Q59" s="10"/>
      <c r="R59" s="10"/>
      <c r="S59" s="25"/>
    </row>
    <row r="60" spans="1:19" ht="14.25" customHeight="1" hidden="1">
      <c r="A60" s="25"/>
      <c r="B60" s="10"/>
      <c r="C60" s="10"/>
      <c r="D60" s="39"/>
      <c r="E60" s="10"/>
      <c r="F60" s="10"/>
      <c r="G60" s="10"/>
      <c r="H60" s="36"/>
      <c r="I60" s="36"/>
      <c r="J60" s="36"/>
      <c r="K60" s="36"/>
      <c r="L60" s="36"/>
      <c r="M60" s="10"/>
      <c r="N60" s="10"/>
      <c r="O60" s="10"/>
      <c r="P60" s="10"/>
      <c r="Q60" s="10"/>
      <c r="R60" s="10"/>
      <c r="S60" s="25"/>
    </row>
    <row r="61" spans="1:19" ht="13.5" customHeight="1" hidden="1">
      <c r="A61" s="25"/>
      <c r="B61" s="10"/>
      <c r="C61" s="10"/>
      <c r="D61" s="10"/>
      <c r="E61" s="10"/>
      <c r="F61" s="10"/>
      <c r="G61" s="10"/>
      <c r="H61" s="37"/>
      <c r="I61" s="37"/>
      <c r="J61" s="37"/>
      <c r="K61" s="37"/>
      <c r="L61" s="37"/>
      <c r="M61" s="10"/>
      <c r="N61" s="10"/>
      <c r="O61" s="10"/>
      <c r="P61" s="10"/>
      <c r="Q61" s="10"/>
      <c r="R61" s="10"/>
      <c r="S61" s="25"/>
    </row>
    <row r="62" spans="2:18" s="25" customFormat="1" ht="12.75" customHeight="1">
      <c r="B62" s="10" t="s">
        <v>14</v>
      </c>
      <c r="C62" s="39"/>
      <c r="D62" s="120"/>
      <c r="E62" s="121"/>
      <c r="F62" s="10"/>
      <c r="G62" s="10"/>
      <c r="H62" s="37"/>
      <c r="I62" s="37"/>
      <c r="J62" s="37"/>
      <c r="K62" s="37"/>
      <c r="L62" s="37"/>
      <c r="M62" s="10"/>
      <c r="N62" s="10"/>
      <c r="O62" s="10"/>
      <c r="P62" s="10"/>
      <c r="Q62" s="10"/>
      <c r="R62" s="10"/>
    </row>
    <row r="63" spans="1:18" s="25" customFormat="1" ht="9.75" customHeight="1">
      <c r="A63" s="122"/>
      <c r="B63" s="123" t="s">
        <v>20</v>
      </c>
      <c r="C63" s="10"/>
      <c r="D63" s="10"/>
      <c r="E63" s="124"/>
      <c r="F63" s="124"/>
      <c r="G63" s="125"/>
      <c r="H63" s="38"/>
      <c r="I63" s="38"/>
      <c r="J63" s="38"/>
      <c r="K63" s="38"/>
      <c r="L63" s="38"/>
      <c r="M63" s="10"/>
      <c r="N63" s="10"/>
      <c r="O63" s="10"/>
      <c r="P63" s="10"/>
      <c r="Q63" s="10"/>
      <c r="R63" s="10"/>
    </row>
    <row r="64" spans="2:18" s="25" customFormat="1" ht="12.75">
      <c r="B64" s="39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126"/>
      <c r="G68" s="126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1:18" s="25" customFormat="1" ht="18.75">
      <c r="A69" s="122"/>
      <c r="B69" s="122"/>
      <c r="C69" s="127"/>
      <c r="D69" s="127"/>
      <c r="E69" s="127"/>
      <c r="F69" s="127"/>
      <c r="G69" s="127"/>
      <c r="H69" s="39"/>
      <c r="I69" s="39"/>
      <c r="J69" s="39"/>
      <c r="K69" s="39"/>
      <c r="L69" s="39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38"/>
      <c r="F70" s="38"/>
      <c r="G70" s="38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38"/>
      <c r="F71" s="38"/>
      <c r="G71" s="38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38"/>
      <c r="F72" s="38"/>
      <c r="G72" s="38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1:18" s="25" customFormat="1" ht="18.75">
      <c r="A73" s="128"/>
      <c r="B73" s="10"/>
      <c r="C73" s="10"/>
      <c r="D73" s="10"/>
      <c r="E73" s="125"/>
      <c r="F73" s="125"/>
      <c r="G73" s="125"/>
      <c r="H73" s="38"/>
      <c r="I73" s="38"/>
      <c r="J73" s="38"/>
      <c r="K73" s="38"/>
      <c r="L73" s="38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117"/>
      <c r="F74" s="129"/>
      <c r="G74" s="129"/>
      <c r="H74" s="35"/>
      <c r="I74" s="35"/>
      <c r="J74" s="35"/>
      <c r="K74" s="35"/>
      <c r="L74" s="35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16"/>
      <c r="E75" s="117"/>
      <c r="F75" s="129"/>
      <c r="G75" s="129"/>
      <c r="H75" s="35"/>
      <c r="I75" s="35"/>
      <c r="J75" s="35"/>
      <c r="K75" s="35"/>
      <c r="L75" s="35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29"/>
      <c r="G76" s="129"/>
      <c r="H76" s="35"/>
      <c r="I76" s="35"/>
      <c r="J76" s="35"/>
      <c r="K76" s="35"/>
      <c r="L76" s="35"/>
      <c r="M76" s="10"/>
      <c r="N76" s="10"/>
      <c r="O76" s="10"/>
      <c r="P76" s="10"/>
      <c r="Q76" s="10"/>
      <c r="R76" s="10"/>
    </row>
    <row r="77" spans="1:18" s="25" customFormat="1" ht="18.75">
      <c r="A77" s="122"/>
      <c r="B77" s="122"/>
      <c r="C77" s="122"/>
      <c r="D77" s="122"/>
      <c r="E77" s="122"/>
      <c r="F77" s="122"/>
      <c r="G77" s="130"/>
      <c r="H77" s="131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 s="25" customFormat="1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 s="25" customFormat="1" ht="12.75">
      <c r="B79" s="10"/>
      <c r="C79" s="10"/>
      <c r="D79" s="116"/>
      <c r="E79" s="117"/>
      <c r="F79" s="117"/>
      <c r="G79" s="117"/>
      <c r="H79" s="35"/>
      <c r="I79" s="35"/>
      <c r="J79" s="35"/>
      <c r="K79" s="118"/>
      <c r="L79" s="118"/>
      <c r="M79" s="10"/>
      <c r="N79" s="10"/>
      <c r="O79" s="10"/>
      <c r="P79" s="10"/>
      <c r="Q79" s="10"/>
      <c r="R79" s="10"/>
    </row>
    <row r="80" spans="2:18" s="25" customFormat="1" ht="12.75">
      <c r="B80" s="10"/>
      <c r="C80" s="10"/>
      <c r="D80" s="39"/>
      <c r="E80" s="10"/>
      <c r="F80" s="10"/>
      <c r="G80" s="10"/>
      <c r="H80" s="36"/>
      <c r="I80" s="36"/>
      <c r="J80" s="36"/>
      <c r="K80" s="36"/>
      <c r="L80" s="36"/>
      <c r="M80" s="10"/>
      <c r="N80" s="10"/>
      <c r="O80" s="10"/>
      <c r="Q80" s="10"/>
      <c r="R80" s="10"/>
    </row>
    <row r="81" s="25" customFormat="1" ht="12.75">
      <c r="P81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81"/>
  <sheetViews>
    <sheetView zoomScalePageLayoutView="0" workbookViewId="0" topLeftCell="ER8">
      <selection activeCell="EQ8" sqref="CV1:EQ1638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hidden="1" customWidth="1"/>
    <col min="21" max="21" width="12.875" style="8" hidden="1" customWidth="1"/>
    <col min="22" max="22" width="11.75390625" style="8" hidden="1" customWidth="1"/>
    <col min="23" max="147" width="0" style="8" hidden="1" customWidth="1"/>
    <col min="148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83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84</v>
      </c>
      <c r="J8" s="11" t="s">
        <v>85</v>
      </c>
      <c r="K8" s="11" t="s">
        <v>86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8">H23+I23-J23</f>
        <v>0</v>
      </c>
      <c r="L23" s="47">
        <f aca="true" t="shared" si="1" ref="L23:L38">K23</f>
        <v>0</v>
      </c>
      <c r="M23" s="7"/>
      <c r="N23" s="7"/>
      <c r="O23" s="5"/>
      <c r="P23" s="7"/>
      <c r="Q23" s="6">
        <f aca="true" t="shared" si="2" ref="Q23:Q38">N23+O23-P23</f>
        <v>0</v>
      </c>
      <c r="R23" s="48">
        <f aca="true" t="shared" si="3" ref="R23:R38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>
        <f>120000+120000</f>
        <v>240000</v>
      </c>
      <c r="K25" s="53">
        <f t="shared" si="0"/>
        <v>599000</v>
      </c>
      <c r="L25" s="47">
        <f t="shared" si="1"/>
        <v>599000</v>
      </c>
      <c r="M25" s="7"/>
      <c r="N25" s="7">
        <v>71.06</v>
      </c>
      <c r="O25" s="5">
        <f>63.04+52.2</f>
        <v>115.24000000000001</v>
      </c>
      <c r="P25" s="7">
        <f>71.06+63.04</f>
        <v>134.1</v>
      </c>
      <c r="Q25" s="6">
        <f t="shared" si="2"/>
        <v>52.20000000000002</v>
      </c>
      <c r="R25" s="48">
        <f t="shared" si="3"/>
        <v>599052.2000000001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>
        <f>312000+312000</f>
        <v>624000</v>
      </c>
      <c r="K26" s="53">
        <f t="shared" si="0"/>
        <v>1560000</v>
      </c>
      <c r="L26" s="47">
        <f t="shared" si="1"/>
        <v>1560000</v>
      </c>
      <c r="M26" s="7"/>
      <c r="N26" s="7">
        <v>184.98</v>
      </c>
      <c r="O26" s="5">
        <f>164.12+135.92</f>
        <v>300.03999999999996</v>
      </c>
      <c r="P26" s="7">
        <f>184.98+164.12</f>
        <v>349.1</v>
      </c>
      <c r="Q26" s="6">
        <f t="shared" si="2"/>
        <v>135.91999999999996</v>
      </c>
      <c r="R26" s="48">
        <f t="shared" si="3"/>
        <v>1560135.92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47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47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7107000</v>
      </c>
      <c r="I29" s="167">
        <f>-(5523000+1584000)</f>
        <v>-7107000</v>
      </c>
      <c r="J29" s="32"/>
      <c r="K29" s="53">
        <f t="shared" si="0"/>
        <v>0</v>
      </c>
      <c r="L29" s="47">
        <f t="shared" si="1"/>
        <v>0</v>
      </c>
      <c r="M29" s="7"/>
      <c r="N29" s="7">
        <v>4471.68</v>
      </c>
      <c r="O29" s="5">
        <f>4483.94</f>
        <v>4483.94</v>
      </c>
      <c r="P29" s="7">
        <f>4471.68+4483.94</f>
        <v>8955.619999999999</v>
      </c>
      <c r="Q29" s="6">
        <f t="shared" si="2"/>
        <v>0</v>
      </c>
      <c r="R29" s="48">
        <f t="shared" si="3"/>
        <v>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65"/>
      <c r="G30" s="166"/>
      <c r="H30" s="167"/>
      <c r="I30" s="167">
        <v>5523000</v>
      </c>
      <c r="J30" s="167"/>
      <c r="K30" s="168">
        <f t="shared" si="0"/>
        <v>5523000</v>
      </c>
      <c r="L30" s="160">
        <f t="shared" si="1"/>
        <v>5523000</v>
      </c>
      <c r="M30" s="169"/>
      <c r="N30" s="169"/>
      <c r="O30" s="170"/>
      <c r="P30" s="169"/>
      <c r="Q30" s="6">
        <f t="shared" si="2"/>
        <v>0</v>
      </c>
      <c r="R30" s="48">
        <f t="shared" si="3"/>
        <v>5523000</v>
      </c>
      <c r="S30" s="171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5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45" t="s">
        <v>47</v>
      </c>
      <c r="G31" s="46" t="s">
        <v>28</v>
      </c>
      <c r="H31" s="32">
        <v>5055000</v>
      </c>
      <c r="I31" s="167">
        <f>-(2723000+2332000)</f>
        <v>-5055000</v>
      </c>
      <c r="J31" s="32"/>
      <c r="K31" s="53">
        <f t="shared" si="0"/>
        <v>0</v>
      </c>
      <c r="L31" s="47">
        <f t="shared" si="1"/>
        <v>0</v>
      </c>
      <c r="M31" s="7"/>
      <c r="N31" s="7">
        <v>6583.31</v>
      </c>
      <c r="O31" s="5">
        <f>6601.35</f>
        <v>6601.35</v>
      </c>
      <c r="P31" s="7">
        <f>6583.31+6601.35</f>
        <v>13184.66</v>
      </c>
      <c r="Q31" s="6">
        <f t="shared" si="2"/>
        <v>0</v>
      </c>
      <c r="R31" s="48">
        <f t="shared" si="3"/>
        <v>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73" customFormat="1" ht="66.75" customHeight="1">
      <c r="A32" s="161"/>
      <c r="B32" s="162"/>
      <c r="C32" s="163" t="s">
        <v>103</v>
      </c>
      <c r="D32" s="163"/>
      <c r="E32" s="164"/>
      <c r="F32" s="165"/>
      <c r="G32" s="166"/>
      <c r="H32" s="167"/>
      <c r="I32" s="167">
        <v>2723000</v>
      </c>
      <c r="J32" s="167"/>
      <c r="K32" s="168">
        <f t="shared" si="0"/>
        <v>2723000</v>
      </c>
      <c r="L32" s="160">
        <f t="shared" si="1"/>
        <v>2723000</v>
      </c>
      <c r="M32" s="169"/>
      <c r="N32" s="169"/>
      <c r="O32" s="170"/>
      <c r="P32" s="169"/>
      <c r="Q32" s="6">
        <f t="shared" si="2"/>
        <v>0</v>
      </c>
      <c r="R32" s="48">
        <f t="shared" si="3"/>
        <v>2723000</v>
      </c>
      <c r="S32" s="171"/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45" t="s">
        <v>51</v>
      </c>
      <c r="G33" s="46" t="s">
        <v>28</v>
      </c>
      <c r="H33" s="32">
        <v>6000000</v>
      </c>
      <c r="I33" s="32">
        <v>-6000000</v>
      </c>
      <c r="J33" s="32"/>
      <c r="K33" s="53">
        <f t="shared" si="0"/>
        <v>0</v>
      </c>
      <c r="L33" s="47">
        <f t="shared" si="1"/>
        <v>0</v>
      </c>
      <c r="M33" s="7"/>
      <c r="N33" s="7">
        <v>16938.2</v>
      </c>
      <c r="O33" s="5">
        <f>16984.6</f>
        <v>16984.6</v>
      </c>
      <c r="P33" s="94">
        <f>16938.2+16984.6</f>
        <v>33922.8</v>
      </c>
      <c r="Q33" s="6">
        <f t="shared" si="2"/>
        <v>0</v>
      </c>
      <c r="R33" s="48">
        <f t="shared" si="3"/>
        <v>0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93" t="s">
        <v>53</v>
      </c>
      <c r="G34" s="133" t="s">
        <v>28</v>
      </c>
      <c r="H34" s="6">
        <v>10000000</v>
      </c>
      <c r="I34" s="6">
        <v>-10000000</v>
      </c>
      <c r="J34" s="6"/>
      <c r="K34" s="47">
        <f t="shared" si="0"/>
        <v>0</v>
      </c>
      <c r="L34" s="47">
        <f t="shared" si="1"/>
        <v>0</v>
      </c>
      <c r="M34" s="7"/>
      <c r="N34" s="7">
        <v>28230.33</v>
      </c>
      <c r="O34" s="134">
        <f>28307.67</f>
        <v>28307.67</v>
      </c>
      <c r="P34" s="135">
        <f>28230.33+28307.67</f>
        <v>56538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45"/>
      <c r="G35" s="133" t="s">
        <v>28</v>
      </c>
      <c r="H35" s="32">
        <v>10000000</v>
      </c>
      <c r="I35" s="44"/>
      <c r="J35" s="32"/>
      <c r="K35" s="47">
        <f t="shared" si="0"/>
        <v>10000000</v>
      </c>
      <c r="L35" s="47">
        <f t="shared" si="1"/>
        <v>10000000</v>
      </c>
      <c r="M35" s="4"/>
      <c r="N35" s="4">
        <v>28230.33</v>
      </c>
      <c r="O35" s="5">
        <f>28307.67+25568.22</f>
        <v>53875.89</v>
      </c>
      <c r="P35" s="94">
        <f>28230.33+28307.67</f>
        <v>56538</v>
      </c>
      <c r="Q35" s="6">
        <f t="shared" si="2"/>
        <v>25568.22</v>
      </c>
      <c r="R35" s="48">
        <f t="shared" si="3"/>
        <v>10025568.22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/>
      <c r="G36" s="46" t="s">
        <v>28</v>
      </c>
      <c r="H36" s="32">
        <v>0</v>
      </c>
      <c r="I36" s="44"/>
      <c r="J36" s="32"/>
      <c r="K36" s="53">
        <f t="shared" si="0"/>
        <v>0</v>
      </c>
      <c r="L36" s="53">
        <f t="shared" si="1"/>
        <v>0</v>
      </c>
      <c r="M36" s="4"/>
      <c r="N36" s="4"/>
      <c r="O36" s="5">
        <v>0</v>
      </c>
      <c r="P36" s="94"/>
      <c r="Q36" s="6"/>
      <c r="R36" s="48">
        <f t="shared" si="3"/>
        <v>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45" t="s">
        <v>60</v>
      </c>
      <c r="G37" s="46" t="s">
        <v>28</v>
      </c>
      <c r="H37" s="138">
        <v>6500000</v>
      </c>
      <c r="I37" s="137"/>
      <c r="J37" s="138"/>
      <c r="K37" s="53">
        <f t="shared" si="0"/>
        <v>6500000</v>
      </c>
      <c r="L37" s="53">
        <f t="shared" si="1"/>
        <v>6500000</v>
      </c>
      <c r="M37" s="139"/>
      <c r="N37" s="139">
        <v>18349.71</v>
      </c>
      <c r="O37" s="5">
        <f>18399.99+16619.34</f>
        <v>35019.33</v>
      </c>
      <c r="P37" s="140">
        <f>18349.71+18399.99</f>
        <v>36749.7</v>
      </c>
      <c r="Q37" s="32">
        <f t="shared" si="2"/>
        <v>16619.340000000004</v>
      </c>
      <c r="R37" s="32">
        <f t="shared" si="3"/>
        <v>6516619.34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45" t="s">
        <v>60</v>
      </c>
      <c r="G38" s="46" t="s">
        <v>28</v>
      </c>
      <c r="H38" s="138">
        <v>12400000</v>
      </c>
      <c r="I38" s="137"/>
      <c r="J38" s="138"/>
      <c r="K38" s="153">
        <f t="shared" si="0"/>
        <v>12400000</v>
      </c>
      <c r="L38" s="153">
        <f t="shared" si="1"/>
        <v>12400000</v>
      </c>
      <c r="M38" s="139"/>
      <c r="N38" s="139">
        <v>35005.61</v>
      </c>
      <c r="O38" s="154">
        <f>35101.51+31704.59</f>
        <v>66806.1</v>
      </c>
      <c r="P38" s="140">
        <f>35005.61+35101.51</f>
        <v>70107.12</v>
      </c>
      <c r="Q38" s="32">
        <f t="shared" si="2"/>
        <v>31704.59000000001</v>
      </c>
      <c r="R38" s="32">
        <f t="shared" si="3"/>
        <v>12431704.59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66.75" customHeight="1">
      <c r="A39" s="50"/>
      <c r="B39" s="42" t="s">
        <v>15</v>
      </c>
      <c r="C39" s="52" t="s">
        <v>70</v>
      </c>
      <c r="D39" s="52" t="s">
        <v>34</v>
      </c>
      <c r="E39" s="44">
        <v>24800000</v>
      </c>
      <c r="F39" s="45" t="s">
        <v>71</v>
      </c>
      <c r="G39" s="46" t="s">
        <v>28</v>
      </c>
      <c r="H39" s="138">
        <v>24800000</v>
      </c>
      <c r="I39" s="174">
        <f>-(5756000+7084000)</f>
        <v>-12840000</v>
      </c>
      <c r="J39" s="138"/>
      <c r="K39" s="153">
        <f>H39+I39-J39</f>
        <v>11960000</v>
      </c>
      <c r="L39" s="153">
        <f>K39</f>
        <v>11960000</v>
      </c>
      <c r="M39" s="139"/>
      <c r="N39" s="139">
        <v>70011.21</v>
      </c>
      <c r="O39" s="154">
        <f>70203.02+20027.22</f>
        <v>90230.24</v>
      </c>
      <c r="P39" s="140">
        <f>70011.21+70203.02</f>
        <v>140214.23</v>
      </c>
      <c r="Q39" s="32">
        <f>N39+O39-P39</f>
        <v>20027.22</v>
      </c>
      <c r="R39" s="32">
        <f>K39+N39+O39-P39</f>
        <v>11980027.22</v>
      </c>
      <c r="S39" s="49"/>
      <c r="T39" s="49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66.75" customHeight="1">
      <c r="A40" s="50"/>
      <c r="B40" s="132" t="s">
        <v>15</v>
      </c>
      <c r="C40" s="43" t="s">
        <v>76</v>
      </c>
      <c r="D40" s="43" t="s">
        <v>34</v>
      </c>
      <c r="E40" s="2">
        <v>16000000</v>
      </c>
      <c r="F40" s="93" t="s">
        <v>78</v>
      </c>
      <c r="G40" s="46" t="s">
        <v>28</v>
      </c>
      <c r="H40" s="138">
        <v>16000000</v>
      </c>
      <c r="I40" s="174">
        <v>-4000000</v>
      </c>
      <c r="J40" s="138"/>
      <c r="K40" s="153">
        <f>H40+I40-J40</f>
        <v>12000000</v>
      </c>
      <c r="L40" s="153">
        <f>K40</f>
        <v>12000000</v>
      </c>
      <c r="M40" s="139"/>
      <c r="N40" s="139">
        <v>8742.3</v>
      </c>
      <c r="O40" s="154">
        <f>45292.27+27394.52</f>
        <v>72686.79</v>
      </c>
      <c r="P40" s="140">
        <f>8742.3+45292.27</f>
        <v>54034.56999999999</v>
      </c>
      <c r="Q40" s="32">
        <f>N40+O40-P40</f>
        <v>27394.520000000004</v>
      </c>
      <c r="R40" s="32">
        <f>K40+N40+O40-P40</f>
        <v>12027394.52</v>
      </c>
      <c r="S40" s="49"/>
      <c r="T40" s="49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66.75" customHeight="1">
      <c r="A41" s="180">
        <v>17</v>
      </c>
      <c r="B41" s="162" t="s">
        <v>15</v>
      </c>
      <c r="C41" s="163" t="s">
        <v>105</v>
      </c>
      <c r="D41" s="163" t="s">
        <v>34</v>
      </c>
      <c r="E41" s="164">
        <v>36756000</v>
      </c>
      <c r="F41" s="165" t="s">
        <v>106</v>
      </c>
      <c r="G41" s="46" t="s">
        <v>28</v>
      </c>
      <c r="H41" s="138"/>
      <c r="I41" s="174">
        <v>36756000</v>
      </c>
      <c r="J41" s="138"/>
      <c r="K41" s="153">
        <f>H41+I41-J41</f>
        <v>36756000</v>
      </c>
      <c r="L41" s="153">
        <f>K41</f>
        <v>36756000</v>
      </c>
      <c r="M41" s="139"/>
      <c r="N41" s="139"/>
      <c r="O41" s="154"/>
      <c r="P41" s="140"/>
      <c r="Q41" s="32">
        <f>N41+O41-P41</f>
        <v>0</v>
      </c>
      <c r="R41" s="32">
        <f>K41+N41+O41-P41</f>
        <v>36756000</v>
      </c>
      <c r="S41" s="49"/>
      <c r="T41" s="49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.75" customHeight="1" thickBot="1">
      <c r="A42" s="95" t="s">
        <v>21</v>
      </c>
      <c r="B42" s="18"/>
      <c r="C42" s="18"/>
      <c r="D42" s="96"/>
      <c r="E42" s="97"/>
      <c r="F42" s="98"/>
      <c r="G42" s="98"/>
      <c r="H42" s="136">
        <f>H23+H24+H25+H26+H27+H28+H29+H31+H33+H34+H35+H36+H37+H38+H39+H40+H30+H32+H41</f>
        <v>107985000</v>
      </c>
      <c r="I42" s="136">
        <f aca="true" t="shared" si="4" ref="I42:R42">I23+I24+I25+I26+I27+I28+I29+I31+I33+I34+I35+I36+I37+I38+I39+I40+I30+I32+I41</f>
        <v>0</v>
      </c>
      <c r="J42" s="136">
        <f t="shared" si="4"/>
        <v>864000</v>
      </c>
      <c r="K42" s="136">
        <f t="shared" si="4"/>
        <v>107121000</v>
      </c>
      <c r="L42" s="136">
        <f t="shared" si="4"/>
        <v>107121000</v>
      </c>
      <c r="M42" s="136">
        <f t="shared" si="4"/>
        <v>0</v>
      </c>
      <c r="N42" s="136">
        <f t="shared" si="4"/>
        <v>216818.72000000003</v>
      </c>
      <c r="O42" s="136">
        <f t="shared" si="4"/>
        <v>375411.19</v>
      </c>
      <c r="P42" s="136">
        <f t="shared" si="4"/>
        <v>470727.89999999997</v>
      </c>
      <c r="Q42" s="136">
        <f t="shared" si="4"/>
        <v>121502.01000000002</v>
      </c>
      <c r="R42" s="136">
        <f t="shared" si="4"/>
        <v>107242502.01</v>
      </c>
      <c r="S42" s="136">
        <f>S23+S24+S25+S26+S27+S28+S29+S31+S33+S34+S35+S36+S37+S38+S39+S40</f>
        <v>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19" ht="16.5" customHeight="1" thickBot="1">
      <c r="A43" s="141" t="s">
        <v>19</v>
      </c>
      <c r="B43" s="142" t="s">
        <v>23</v>
      </c>
      <c r="C43" s="142"/>
      <c r="D43" s="142"/>
      <c r="E43" s="142"/>
      <c r="F43" s="142"/>
      <c r="G43" s="20"/>
      <c r="H43" s="10"/>
      <c r="I43" s="10"/>
      <c r="J43" s="10"/>
      <c r="K43" s="10"/>
      <c r="L43" s="99"/>
      <c r="M43" s="10"/>
      <c r="N43" s="10"/>
      <c r="O43" s="10"/>
      <c r="P43" s="146"/>
      <c r="Q43" s="10"/>
      <c r="R43" s="147"/>
      <c r="S43" s="25"/>
    </row>
    <row r="44" spans="1:19" ht="69" customHeight="1">
      <c r="A44" s="144">
        <v>1</v>
      </c>
      <c r="B44" s="42" t="s">
        <v>23</v>
      </c>
      <c r="C44" s="145" t="s">
        <v>57</v>
      </c>
      <c r="D44" s="132" t="s">
        <v>58</v>
      </c>
      <c r="E44" s="17">
        <v>9000000</v>
      </c>
      <c r="F44" s="132" t="s">
        <v>63</v>
      </c>
      <c r="G44" s="133" t="s">
        <v>28</v>
      </c>
      <c r="H44" s="7">
        <v>9000000</v>
      </c>
      <c r="I44" s="159"/>
      <c r="J44" s="7">
        <v>9000000</v>
      </c>
      <c r="K44" s="6">
        <f>H44+I44-J44</f>
        <v>0</v>
      </c>
      <c r="L44" s="6">
        <f>K44</f>
        <v>0</v>
      </c>
      <c r="M44" s="3"/>
      <c r="N44" s="3">
        <v>0</v>
      </c>
      <c r="O44" s="3">
        <f>133767.12+120821.92-4315.07</f>
        <v>250273.96999999997</v>
      </c>
      <c r="P44" s="17">
        <f>133767.12+120821.92</f>
        <v>254589.03999999998</v>
      </c>
      <c r="Q44" s="6">
        <f>N44+O44-P44</f>
        <v>-4315.070000000007</v>
      </c>
      <c r="R44" s="6">
        <f>K44+N44+O44-P44</f>
        <v>-4315.070000000007</v>
      </c>
      <c r="S44" s="25"/>
    </row>
    <row r="45" spans="1:19" ht="69" customHeight="1">
      <c r="A45" s="152">
        <v>2</v>
      </c>
      <c r="B45" s="42" t="s">
        <v>23</v>
      </c>
      <c r="C45" s="145" t="s">
        <v>61</v>
      </c>
      <c r="D45" s="132" t="s">
        <v>58</v>
      </c>
      <c r="E45" s="17">
        <v>5000000</v>
      </c>
      <c r="F45" s="132" t="s">
        <v>62</v>
      </c>
      <c r="G45" s="133" t="s">
        <v>28</v>
      </c>
      <c r="H45" s="7"/>
      <c r="I45" s="159"/>
      <c r="J45" s="7"/>
      <c r="K45" s="6">
        <f>H45+I45-J45</f>
        <v>0</v>
      </c>
      <c r="L45" s="6">
        <f>K45</f>
        <v>0</v>
      </c>
      <c r="M45" s="3"/>
      <c r="N45" s="3">
        <v>0</v>
      </c>
      <c r="O45" s="17"/>
      <c r="P45" s="17"/>
      <c r="Q45" s="6">
        <f>N45+O45-P45</f>
        <v>0</v>
      </c>
      <c r="R45" s="6">
        <f>K45+N45+O45-P45</f>
        <v>0</v>
      </c>
      <c r="S45" s="25"/>
    </row>
    <row r="46" spans="1:19" ht="69" customHeight="1">
      <c r="A46" s="152">
        <v>3</v>
      </c>
      <c r="B46" s="42" t="s">
        <v>23</v>
      </c>
      <c r="C46" s="145" t="s">
        <v>68</v>
      </c>
      <c r="D46" s="132" t="s">
        <v>58</v>
      </c>
      <c r="E46" s="17"/>
      <c r="F46" s="132" t="s">
        <v>80</v>
      </c>
      <c r="G46" s="133" t="s">
        <v>28</v>
      </c>
      <c r="H46" s="159">
        <v>10000000</v>
      </c>
      <c r="I46" s="159"/>
      <c r="J46" s="159">
        <v>10000000</v>
      </c>
      <c r="K46" s="6">
        <f>H46+I46-J46</f>
        <v>0</v>
      </c>
      <c r="L46" s="6">
        <f>K46</f>
        <v>0</v>
      </c>
      <c r="M46" s="3"/>
      <c r="N46" s="3">
        <v>0</v>
      </c>
      <c r="O46" s="3">
        <f>148630.14+134246.58</f>
        <v>282876.72</v>
      </c>
      <c r="P46" s="17">
        <f>148630.14+134246.58</f>
        <v>282876.72</v>
      </c>
      <c r="Q46" s="6">
        <f>N46+O46-P46</f>
        <v>0</v>
      </c>
      <c r="R46" s="6">
        <f>K46+N46+O46-P46</f>
        <v>0</v>
      </c>
      <c r="S46" s="25"/>
    </row>
    <row r="47" spans="1:19" ht="69" customHeight="1">
      <c r="A47" s="152">
        <v>4</v>
      </c>
      <c r="B47" s="42" t="s">
        <v>23</v>
      </c>
      <c r="C47" s="145" t="s">
        <v>77</v>
      </c>
      <c r="D47" s="132" t="s">
        <v>58</v>
      </c>
      <c r="E47" s="17"/>
      <c r="F47" s="158">
        <v>43439</v>
      </c>
      <c r="G47" s="133"/>
      <c r="H47" s="159">
        <v>8000000</v>
      </c>
      <c r="I47" s="159"/>
      <c r="J47" s="159">
        <v>8000000</v>
      </c>
      <c r="K47" s="6">
        <f>H47+I47-J47</f>
        <v>0</v>
      </c>
      <c r="L47" s="6">
        <f>K47</f>
        <v>0</v>
      </c>
      <c r="M47" s="3"/>
      <c r="N47" s="3"/>
      <c r="O47" s="3">
        <f>105315.07+95123.29</f>
        <v>200438.36</v>
      </c>
      <c r="P47" s="17">
        <f>105315.07+95123.29</f>
        <v>200438.36</v>
      </c>
      <c r="Q47" s="6">
        <f>N47+O47-P47</f>
        <v>0</v>
      </c>
      <c r="R47" s="6">
        <f>K47+N47+O47-P47</f>
        <v>0</v>
      </c>
      <c r="S47" s="25"/>
    </row>
    <row r="48" spans="1:19" ht="16.5" customHeight="1" thickBot="1">
      <c r="A48" s="95" t="s">
        <v>21</v>
      </c>
      <c r="B48" s="143"/>
      <c r="C48" s="143"/>
      <c r="D48" s="14"/>
      <c r="E48" s="14"/>
      <c r="F48" s="14"/>
      <c r="G48" s="14"/>
      <c r="H48" s="4">
        <f>H44+H45+H46+H47</f>
        <v>27000000</v>
      </c>
      <c r="I48" s="4">
        <f aca="true" t="shared" si="5" ref="I48:R48">I44+I45+I46+I47</f>
        <v>0</v>
      </c>
      <c r="J48" s="4">
        <f t="shared" si="5"/>
        <v>27000000</v>
      </c>
      <c r="K48" s="1">
        <f t="shared" si="5"/>
        <v>0</v>
      </c>
      <c r="L48" s="1">
        <f t="shared" si="5"/>
        <v>0</v>
      </c>
      <c r="M48" s="1">
        <f t="shared" si="5"/>
        <v>0</v>
      </c>
      <c r="N48" s="1">
        <f t="shared" si="5"/>
        <v>0</v>
      </c>
      <c r="O48" s="1">
        <f t="shared" si="5"/>
        <v>733589.0499999999</v>
      </c>
      <c r="P48" s="1">
        <f t="shared" si="5"/>
        <v>737904.12</v>
      </c>
      <c r="Q48" s="1">
        <f t="shared" si="5"/>
        <v>-4315.070000000007</v>
      </c>
      <c r="R48" s="1">
        <f t="shared" si="5"/>
        <v>-4315.070000000007</v>
      </c>
      <c r="S48" s="1">
        <f>S44+S45+S46</f>
        <v>0</v>
      </c>
    </row>
    <row r="49" spans="1:35" s="83" customFormat="1" ht="18" customHeight="1" thickBot="1">
      <c r="A49" s="101" t="s">
        <v>5</v>
      </c>
      <c r="B49" s="102" t="s">
        <v>22</v>
      </c>
      <c r="C49" s="102"/>
      <c r="D49" s="148"/>
      <c r="E49" s="148"/>
      <c r="F49" s="148"/>
      <c r="G49" s="148"/>
      <c r="H49" s="148"/>
      <c r="I49" s="143"/>
      <c r="J49" s="143"/>
      <c r="K49" s="143"/>
      <c r="L49" s="143"/>
      <c r="M49" s="143"/>
      <c r="N49" s="143"/>
      <c r="O49" s="143"/>
      <c r="P49" s="151"/>
      <c r="Q49" s="143"/>
      <c r="R49" s="149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s="83" customFormat="1" ht="69.75" customHeight="1" hidden="1">
      <c r="A50" s="101"/>
      <c r="B50" s="103"/>
      <c r="C50" s="104"/>
      <c r="D50" s="104"/>
      <c r="E50" s="105"/>
      <c r="F50" s="104"/>
      <c r="G50" s="46"/>
      <c r="H50" s="62"/>
      <c r="I50" s="62"/>
      <c r="J50" s="33"/>
      <c r="K50" s="62"/>
      <c r="L50" s="32"/>
      <c r="M50" s="21"/>
      <c r="N50" s="21"/>
      <c r="O50" s="21"/>
      <c r="P50" s="150"/>
      <c r="Q50" s="62"/>
      <c r="R50" s="62"/>
      <c r="S50" s="82"/>
      <c r="T50" s="106"/>
      <c r="U50" s="106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s="83" customFormat="1" ht="18" customHeight="1" thickBot="1">
      <c r="A51" s="107" t="s">
        <v>21</v>
      </c>
      <c r="B51" s="108"/>
      <c r="C51" s="109"/>
      <c r="D51" s="109"/>
      <c r="E51" s="110"/>
      <c r="F51" s="111"/>
      <c r="G51" s="104"/>
      <c r="H51" s="34">
        <f>H50</f>
        <v>0</v>
      </c>
      <c r="I51" s="34">
        <f>I50</f>
        <v>0</v>
      </c>
      <c r="J51" s="34">
        <f>J50</f>
        <v>0</v>
      </c>
      <c r="K51" s="34">
        <f>K50</f>
        <v>0</v>
      </c>
      <c r="L51" s="34">
        <f>L50</f>
        <v>0</v>
      </c>
      <c r="M51" s="22">
        <v>3</v>
      </c>
      <c r="N51" s="22">
        <v>0</v>
      </c>
      <c r="O51" s="22">
        <v>0</v>
      </c>
      <c r="P51" s="22">
        <v>0</v>
      </c>
      <c r="Q51" s="34">
        <f>K51</f>
        <v>0</v>
      </c>
      <c r="R51" s="34">
        <f>Q51</f>
        <v>0</v>
      </c>
      <c r="S51" s="82"/>
      <c r="T51" s="11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20" ht="16.5" customHeight="1" thickBot="1">
      <c r="A52" s="113"/>
      <c r="B52" s="20" t="s">
        <v>16</v>
      </c>
      <c r="C52" s="19"/>
      <c r="D52" s="19"/>
      <c r="E52" s="19"/>
      <c r="F52" s="100"/>
      <c r="G52" s="114"/>
      <c r="H52" s="23">
        <f>H42+H50+H48</f>
        <v>134985000</v>
      </c>
      <c r="I52" s="23">
        <f aca="true" t="shared" si="6" ref="I52:R52">I42+I50+I48</f>
        <v>0</v>
      </c>
      <c r="J52" s="23">
        <f t="shared" si="6"/>
        <v>27864000</v>
      </c>
      <c r="K52" s="23">
        <f>K42+K50+K48</f>
        <v>107121000</v>
      </c>
      <c r="L52" s="23">
        <f t="shared" si="6"/>
        <v>107121000</v>
      </c>
      <c r="M52" s="23">
        <f t="shared" si="6"/>
        <v>0</v>
      </c>
      <c r="N52" s="23">
        <f t="shared" si="6"/>
        <v>216818.72000000003</v>
      </c>
      <c r="O52" s="23">
        <f t="shared" si="6"/>
        <v>1109000.24</v>
      </c>
      <c r="P52" s="23">
        <f t="shared" si="6"/>
        <v>1208632.02</v>
      </c>
      <c r="Q52" s="23">
        <f t="shared" si="6"/>
        <v>117186.94000000002</v>
      </c>
      <c r="R52" s="23">
        <f t="shared" si="6"/>
        <v>107238186.94000001</v>
      </c>
      <c r="S52" s="25"/>
      <c r="T52" s="115"/>
    </row>
    <row r="53" spans="1:19" ht="16.5" customHeight="1">
      <c r="A53" s="25"/>
      <c r="B53" s="82"/>
      <c r="C53" s="10"/>
      <c r="D53" s="10"/>
      <c r="E53" s="10"/>
      <c r="F53" s="10"/>
      <c r="G53" s="10"/>
      <c r="H53" s="24"/>
      <c r="I53" s="24"/>
      <c r="J53" s="24"/>
      <c r="K53" s="24"/>
      <c r="L53" s="24"/>
      <c r="M53" s="40"/>
      <c r="N53" s="24"/>
      <c r="O53" s="24"/>
      <c r="P53" s="24"/>
      <c r="Q53" s="24"/>
      <c r="R53" s="24"/>
      <c r="S53" s="25"/>
    </row>
    <row r="54" spans="1:19" ht="16.5" customHeight="1">
      <c r="A54" s="25"/>
      <c r="B54" s="10" t="s">
        <v>36</v>
      </c>
      <c r="C54" s="10"/>
      <c r="D54" s="10"/>
      <c r="E54" s="10"/>
      <c r="F54" s="10"/>
      <c r="G54" s="10"/>
      <c r="H54" s="24" t="s">
        <v>45</v>
      </c>
      <c r="I54" s="24"/>
      <c r="J54" s="24"/>
      <c r="K54" s="24"/>
      <c r="L54" s="24"/>
      <c r="M54" s="40"/>
      <c r="N54" s="24"/>
      <c r="O54" s="24"/>
      <c r="P54" s="40"/>
      <c r="Q54" s="24"/>
      <c r="R54" s="24"/>
      <c r="S54" s="25"/>
    </row>
    <row r="55" spans="1:19" ht="16.5" customHeight="1">
      <c r="A55" s="2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4"/>
      <c r="Q55" s="10"/>
      <c r="R55" s="10"/>
      <c r="S55" s="25"/>
    </row>
    <row r="56" spans="1:19" ht="15.75" customHeight="1">
      <c r="A56" s="25"/>
      <c r="B56" s="10" t="s">
        <v>27</v>
      </c>
      <c r="C56" s="10"/>
      <c r="D56" s="116"/>
      <c r="E56" s="117"/>
      <c r="F56" s="117"/>
      <c r="G56" s="117"/>
      <c r="H56" s="35" t="s">
        <v>67</v>
      </c>
      <c r="I56" s="35"/>
      <c r="J56" s="35"/>
      <c r="K56" s="35"/>
      <c r="L56" s="35"/>
      <c r="M56" s="10"/>
      <c r="N56" s="10"/>
      <c r="O56" s="10"/>
      <c r="P56" s="10"/>
      <c r="Q56" s="10"/>
      <c r="R56" s="10"/>
      <c r="S56" s="25"/>
    </row>
    <row r="57" spans="1:19" ht="15.75" customHeight="1">
      <c r="A57" s="25"/>
      <c r="B57" s="10" t="s">
        <v>26</v>
      </c>
      <c r="C57" s="10"/>
      <c r="D57" s="116"/>
      <c r="E57" s="117"/>
      <c r="F57" s="117"/>
      <c r="G57" s="117"/>
      <c r="H57" s="35"/>
      <c r="I57" s="35"/>
      <c r="J57" s="35"/>
      <c r="K57" s="118"/>
      <c r="L57" s="118"/>
      <c r="M57" s="10"/>
      <c r="N57" s="10"/>
      <c r="O57" s="10"/>
      <c r="P57" s="10"/>
      <c r="Q57" s="10"/>
      <c r="R57" s="10"/>
      <c r="S57" s="25"/>
    </row>
    <row r="58" spans="1:19" ht="12.75">
      <c r="A58" s="25"/>
      <c r="B58" s="10"/>
      <c r="C58" s="10"/>
      <c r="D58" s="39"/>
      <c r="E58" s="10"/>
      <c r="F58" s="10"/>
      <c r="G58" s="10"/>
      <c r="H58" s="36"/>
      <c r="I58" s="36"/>
      <c r="J58" s="36"/>
      <c r="K58" s="36"/>
      <c r="L58" s="36"/>
      <c r="M58" s="10"/>
      <c r="N58" s="10"/>
      <c r="O58" s="10"/>
      <c r="P58" s="10"/>
      <c r="Q58" s="10"/>
      <c r="R58" s="10"/>
      <c r="S58" s="25"/>
    </row>
    <row r="59" spans="1:19" ht="0.75" customHeight="1">
      <c r="A59" s="25"/>
      <c r="B59" s="10"/>
      <c r="C59" s="10"/>
      <c r="D59" s="39"/>
      <c r="E59" s="10"/>
      <c r="F59" s="10"/>
      <c r="G59" s="10"/>
      <c r="H59" s="119"/>
      <c r="I59" s="36"/>
      <c r="J59" s="36"/>
      <c r="K59" s="36"/>
      <c r="L59" s="36"/>
      <c r="M59" s="10"/>
      <c r="N59" s="10"/>
      <c r="O59" s="10"/>
      <c r="P59" s="10"/>
      <c r="Q59" s="10"/>
      <c r="R59" s="10"/>
      <c r="S59" s="25"/>
    </row>
    <row r="60" spans="1:19" ht="14.25" customHeight="1" hidden="1">
      <c r="A60" s="25"/>
      <c r="B60" s="10"/>
      <c r="C60" s="10"/>
      <c r="D60" s="39"/>
      <c r="E60" s="10"/>
      <c r="F60" s="10"/>
      <c r="G60" s="10"/>
      <c r="H60" s="36"/>
      <c r="I60" s="36"/>
      <c r="J60" s="36"/>
      <c r="K60" s="36"/>
      <c r="L60" s="36"/>
      <c r="M60" s="10"/>
      <c r="N60" s="10"/>
      <c r="O60" s="10"/>
      <c r="P60" s="10"/>
      <c r="Q60" s="10"/>
      <c r="R60" s="10"/>
      <c r="S60" s="25"/>
    </row>
    <row r="61" spans="1:19" ht="13.5" customHeight="1" hidden="1">
      <c r="A61" s="25"/>
      <c r="B61" s="10"/>
      <c r="C61" s="10"/>
      <c r="D61" s="10"/>
      <c r="E61" s="10"/>
      <c r="F61" s="10"/>
      <c r="G61" s="10"/>
      <c r="H61" s="37"/>
      <c r="I61" s="37"/>
      <c r="J61" s="37"/>
      <c r="K61" s="37"/>
      <c r="L61" s="37"/>
      <c r="M61" s="10"/>
      <c r="N61" s="10"/>
      <c r="O61" s="10"/>
      <c r="P61" s="10"/>
      <c r="Q61" s="10"/>
      <c r="R61" s="10"/>
      <c r="S61" s="25"/>
    </row>
    <row r="62" spans="2:18" s="25" customFormat="1" ht="12.75" customHeight="1">
      <c r="B62" s="10" t="s">
        <v>14</v>
      </c>
      <c r="C62" s="39"/>
      <c r="D62" s="120"/>
      <c r="E62" s="121"/>
      <c r="F62" s="10"/>
      <c r="G62" s="10"/>
      <c r="H62" s="37"/>
      <c r="I62" s="37"/>
      <c r="J62" s="37"/>
      <c r="K62" s="37"/>
      <c r="L62" s="37"/>
      <c r="M62" s="10"/>
      <c r="N62" s="10"/>
      <c r="O62" s="10"/>
      <c r="P62" s="10"/>
      <c r="Q62" s="10"/>
      <c r="R62" s="10"/>
    </row>
    <row r="63" spans="1:18" s="25" customFormat="1" ht="9.75" customHeight="1">
      <c r="A63" s="122"/>
      <c r="B63" s="123" t="s">
        <v>20</v>
      </c>
      <c r="C63" s="10"/>
      <c r="D63" s="10"/>
      <c r="E63" s="124"/>
      <c r="F63" s="124"/>
      <c r="G63" s="125"/>
      <c r="H63" s="38"/>
      <c r="I63" s="38"/>
      <c r="J63" s="38"/>
      <c r="K63" s="38"/>
      <c r="L63" s="38"/>
      <c r="M63" s="10"/>
      <c r="N63" s="10"/>
      <c r="O63" s="10"/>
      <c r="P63" s="10"/>
      <c r="Q63" s="10"/>
      <c r="R63" s="10"/>
    </row>
    <row r="64" spans="2:18" s="25" customFormat="1" ht="12.75">
      <c r="B64" s="39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126"/>
      <c r="G68" s="126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1:18" s="25" customFormat="1" ht="18.75">
      <c r="A69" s="122"/>
      <c r="B69" s="122"/>
      <c r="C69" s="127"/>
      <c r="D69" s="127"/>
      <c r="E69" s="127"/>
      <c r="F69" s="127"/>
      <c r="G69" s="127"/>
      <c r="H69" s="39"/>
      <c r="I69" s="39"/>
      <c r="J69" s="39"/>
      <c r="K69" s="39"/>
      <c r="L69" s="39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38"/>
      <c r="F70" s="38"/>
      <c r="G70" s="38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38"/>
      <c r="F71" s="38"/>
      <c r="G71" s="38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38"/>
      <c r="F72" s="38"/>
      <c r="G72" s="38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1:18" s="25" customFormat="1" ht="18.75">
      <c r="A73" s="128"/>
      <c r="B73" s="10"/>
      <c r="C73" s="10"/>
      <c r="D73" s="10"/>
      <c r="E73" s="125"/>
      <c r="F73" s="125"/>
      <c r="G73" s="125"/>
      <c r="H73" s="38"/>
      <c r="I73" s="38"/>
      <c r="J73" s="38"/>
      <c r="K73" s="38"/>
      <c r="L73" s="38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117"/>
      <c r="F74" s="129"/>
      <c r="G74" s="129"/>
      <c r="H74" s="35"/>
      <c r="I74" s="35"/>
      <c r="J74" s="35"/>
      <c r="K74" s="35"/>
      <c r="L74" s="35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16"/>
      <c r="E75" s="117"/>
      <c r="F75" s="129"/>
      <c r="G75" s="129"/>
      <c r="H75" s="35"/>
      <c r="I75" s="35"/>
      <c r="J75" s="35"/>
      <c r="K75" s="35"/>
      <c r="L75" s="35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29"/>
      <c r="G76" s="129"/>
      <c r="H76" s="35"/>
      <c r="I76" s="35"/>
      <c r="J76" s="35"/>
      <c r="K76" s="35"/>
      <c r="L76" s="35"/>
      <c r="M76" s="10"/>
      <c r="N76" s="10"/>
      <c r="O76" s="10"/>
      <c r="P76" s="10"/>
      <c r="Q76" s="10"/>
      <c r="R76" s="10"/>
    </row>
    <row r="77" spans="1:18" s="25" customFormat="1" ht="18.75">
      <c r="A77" s="122"/>
      <c r="B77" s="122"/>
      <c r="C77" s="122"/>
      <c r="D77" s="122"/>
      <c r="E77" s="122"/>
      <c r="F77" s="122"/>
      <c r="G77" s="130"/>
      <c r="H77" s="131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 s="25" customFormat="1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 s="25" customFormat="1" ht="12.75">
      <c r="B79" s="10"/>
      <c r="C79" s="10"/>
      <c r="D79" s="116"/>
      <c r="E79" s="117"/>
      <c r="F79" s="117"/>
      <c r="G79" s="117"/>
      <c r="H79" s="35"/>
      <c r="I79" s="35"/>
      <c r="J79" s="35"/>
      <c r="K79" s="118"/>
      <c r="L79" s="118"/>
      <c r="M79" s="10"/>
      <c r="N79" s="10"/>
      <c r="O79" s="10"/>
      <c r="P79" s="10"/>
      <c r="Q79" s="10"/>
      <c r="R79" s="10"/>
    </row>
    <row r="80" spans="2:18" s="25" customFormat="1" ht="12.75">
      <c r="B80" s="10"/>
      <c r="C80" s="10"/>
      <c r="D80" s="39"/>
      <c r="E80" s="10"/>
      <c r="F80" s="10"/>
      <c r="G80" s="10"/>
      <c r="H80" s="36"/>
      <c r="I80" s="36"/>
      <c r="J80" s="36"/>
      <c r="K80" s="36"/>
      <c r="L80" s="36"/>
      <c r="M80" s="10"/>
      <c r="N80" s="10"/>
      <c r="O80" s="10"/>
      <c r="Q80" s="10"/>
      <c r="R80" s="10"/>
    </row>
    <row r="81" s="25" customFormat="1" ht="12.75">
      <c r="P81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81"/>
  <sheetViews>
    <sheetView zoomScalePageLayoutView="0" workbookViewId="0" topLeftCell="Q8">
      <pane xSplit="21150" ySplit="3195" topLeftCell="O40" activePane="topLeft" state="split"/>
      <selection pane="topLeft" activeCell="T8" sqref="T1:AH16384"/>
      <selection pane="topRight" activeCell="J8" sqref="J8"/>
      <selection pane="bottomLeft" activeCell="R40" sqref="R40:R41"/>
      <selection pane="bottomRight" activeCell="O1" sqref="O1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hidden="1" customWidth="1"/>
    <col min="21" max="21" width="12.875" style="8" hidden="1" customWidth="1"/>
    <col min="22" max="22" width="11.75390625" style="8" hidden="1" customWidth="1"/>
    <col min="23" max="34" width="0" style="8" hidden="1" customWidth="1"/>
    <col min="35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87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93</v>
      </c>
      <c r="J8" s="11" t="s">
        <v>92</v>
      </c>
      <c r="K8" s="11" t="s">
        <v>88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8">H23+I23-J23</f>
        <v>0</v>
      </c>
      <c r="L23" s="47">
        <f aca="true" t="shared" si="1" ref="L23:L38">K23</f>
        <v>0</v>
      </c>
      <c r="M23" s="7"/>
      <c r="N23" s="7"/>
      <c r="O23" s="5"/>
      <c r="P23" s="7"/>
      <c r="Q23" s="6">
        <f aca="true" t="shared" si="2" ref="Q23:Q38">N23+O23-P23</f>
        <v>0</v>
      </c>
      <c r="R23" s="48">
        <f aca="true" t="shared" si="3" ref="R23:R38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>
        <f>120000+120000+120000</f>
        <v>360000</v>
      </c>
      <c r="K25" s="53">
        <f t="shared" si="0"/>
        <v>479000</v>
      </c>
      <c r="L25" s="47">
        <f t="shared" si="1"/>
        <v>479000</v>
      </c>
      <c r="M25" s="7"/>
      <c r="N25" s="7">
        <v>71.06</v>
      </c>
      <c r="O25" s="5">
        <f>63.04+52.2+45.62</f>
        <v>160.86</v>
      </c>
      <c r="P25" s="7">
        <f>71.06+63.04+52.2</f>
        <v>186.3</v>
      </c>
      <c r="Q25" s="6">
        <f t="shared" si="2"/>
        <v>45.620000000000005</v>
      </c>
      <c r="R25" s="48">
        <f t="shared" si="3"/>
        <v>479045.62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>
        <f>312000+312000+312000</f>
        <v>936000</v>
      </c>
      <c r="K26" s="53">
        <f t="shared" si="0"/>
        <v>1248000</v>
      </c>
      <c r="L26" s="47">
        <f t="shared" si="1"/>
        <v>1248000</v>
      </c>
      <c r="M26" s="7"/>
      <c r="N26" s="7">
        <v>184.98</v>
      </c>
      <c r="O26" s="5">
        <f>164.12+135.92+118.82</f>
        <v>418.85999999999996</v>
      </c>
      <c r="P26" s="7">
        <f>184.98+164.12+135.92</f>
        <v>485.02</v>
      </c>
      <c r="Q26" s="6">
        <f t="shared" si="2"/>
        <v>118.81999999999994</v>
      </c>
      <c r="R26" s="48">
        <f t="shared" si="3"/>
        <v>1248118.82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47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47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7107000</v>
      </c>
      <c r="I29" s="167">
        <f>-(5523000+1584000)</f>
        <v>-7107000</v>
      </c>
      <c r="J29" s="32"/>
      <c r="K29" s="53">
        <f t="shared" si="0"/>
        <v>0</v>
      </c>
      <c r="L29" s="47">
        <f t="shared" si="1"/>
        <v>0</v>
      </c>
      <c r="M29" s="7"/>
      <c r="N29" s="7">
        <v>4471.68</v>
      </c>
      <c r="O29" s="5">
        <f>4483.94</f>
        <v>4483.94</v>
      </c>
      <c r="P29" s="7">
        <f>4471.68+4483.94</f>
        <v>8955.619999999999</v>
      </c>
      <c r="Q29" s="6">
        <f t="shared" si="2"/>
        <v>0</v>
      </c>
      <c r="R29" s="48">
        <f t="shared" si="3"/>
        <v>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65"/>
      <c r="G30" s="166"/>
      <c r="H30" s="167"/>
      <c r="I30" s="167">
        <v>5523000</v>
      </c>
      <c r="J30" s="167"/>
      <c r="K30" s="168">
        <f t="shared" si="0"/>
        <v>5523000</v>
      </c>
      <c r="L30" s="160">
        <f t="shared" si="1"/>
        <v>5523000</v>
      </c>
      <c r="M30" s="169"/>
      <c r="N30" s="169"/>
      <c r="O30" s="170"/>
      <c r="P30" s="169"/>
      <c r="Q30" s="6">
        <f t="shared" si="2"/>
        <v>0</v>
      </c>
      <c r="R30" s="48">
        <f t="shared" si="3"/>
        <v>5523000</v>
      </c>
      <c r="S30" s="171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5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45" t="s">
        <v>47</v>
      </c>
      <c r="G31" s="46" t="s">
        <v>28</v>
      </c>
      <c r="H31" s="32">
        <v>5055000</v>
      </c>
      <c r="I31" s="167">
        <f>-(2723000+2332000)</f>
        <v>-5055000</v>
      </c>
      <c r="J31" s="32"/>
      <c r="K31" s="53">
        <f t="shared" si="0"/>
        <v>0</v>
      </c>
      <c r="L31" s="47">
        <f t="shared" si="1"/>
        <v>0</v>
      </c>
      <c r="M31" s="7"/>
      <c r="N31" s="7">
        <v>6583.31</v>
      </c>
      <c r="O31" s="5">
        <f>6601.35</f>
        <v>6601.35</v>
      </c>
      <c r="P31" s="7">
        <f>6583.31+6601.35</f>
        <v>13184.66</v>
      </c>
      <c r="Q31" s="6">
        <f t="shared" si="2"/>
        <v>0</v>
      </c>
      <c r="R31" s="48">
        <f t="shared" si="3"/>
        <v>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73" customFormat="1" ht="66.75" customHeight="1">
      <c r="A32" s="161"/>
      <c r="B32" s="162"/>
      <c r="C32" s="163" t="s">
        <v>103</v>
      </c>
      <c r="D32" s="163"/>
      <c r="E32" s="164"/>
      <c r="F32" s="165"/>
      <c r="G32" s="166"/>
      <c r="H32" s="167"/>
      <c r="I32" s="167">
        <v>2723000</v>
      </c>
      <c r="J32" s="167"/>
      <c r="K32" s="168">
        <f t="shared" si="0"/>
        <v>2723000</v>
      </c>
      <c r="L32" s="160">
        <f t="shared" si="1"/>
        <v>2723000</v>
      </c>
      <c r="M32" s="169"/>
      <c r="N32" s="169"/>
      <c r="O32" s="170"/>
      <c r="P32" s="169"/>
      <c r="Q32" s="6">
        <f t="shared" si="2"/>
        <v>0</v>
      </c>
      <c r="R32" s="48">
        <f t="shared" si="3"/>
        <v>2723000</v>
      </c>
      <c r="S32" s="171"/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45" t="s">
        <v>51</v>
      </c>
      <c r="G33" s="46" t="s">
        <v>28</v>
      </c>
      <c r="H33" s="32">
        <v>6000000</v>
      </c>
      <c r="I33" s="32">
        <v>-6000000</v>
      </c>
      <c r="J33" s="32"/>
      <c r="K33" s="53">
        <f t="shared" si="0"/>
        <v>0</v>
      </c>
      <c r="L33" s="47">
        <f t="shared" si="1"/>
        <v>0</v>
      </c>
      <c r="M33" s="7"/>
      <c r="N33" s="7">
        <v>16938.2</v>
      </c>
      <c r="O33" s="5">
        <f>16984.6</f>
        <v>16984.6</v>
      </c>
      <c r="P33" s="94">
        <f>16938.2+16984.6</f>
        <v>33922.8</v>
      </c>
      <c r="Q33" s="6">
        <f t="shared" si="2"/>
        <v>0</v>
      </c>
      <c r="R33" s="48">
        <f t="shared" si="3"/>
        <v>0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93" t="s">
        <v>53</v>
      </c>
      <c r="G34" s="133" t="s">
        <v>28</v>
      </c>
      <c r="H34" s="6">
        <v>10000000</v>
      </c>
      <c r="I34" s="6">
        <v>-10000000</v>
      </c>
      <c r="J34" s="6"/>
      <c r="K34" s="47">
        <f t="shared" si="0"/>
        <v>0</v>
      </c>
      <c r="L34" s="47">
        <f t="shared" si="1"/>
        <v>0</v>
      </c>
      <c r="M34" s="7"/>
      <c r="N34" s="7">
        <v>28230.33</v>
      </c>
      <c r="O34" s="134">
        <f>28307.67</f>
        <v>28307.67</v>
      </c>
      <c r="P34" s="135">
        <f>28230.33+28307.67</f>
        <v>56538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45"/>
      <c r="G35" s="133" t="s">
        <v>28</v>
      </c>
      <c r="H35" s="32">
        <v>10000000</v>
      </c>
      <c r="I35" s="44"/>
      <c r="J35" s="32"/>
      <c r="K35" s="47">
        <f t="shared" si="0"/>
        <v>10000000</v>
      </c>
      <c r="L35" s="47">
        <f t="shared" si="1"/>
        <v>10000000</v>
      </c>
      <c r="M35" s="4"/>
      <c r="N35" s="4">
        <v>28230.33</v>
      </c>
      <c r="O35" s="5">
        <f>28307.67+25568.22+28193.97</f>
        <v>82069.86</v>
      </c>
      <c r="P35" s="94">
        <f>28230.33+28307.67+25568.22</f>
        <v>82106.22</v>
      </c>
      <c r="Q35" s="6">
        <f t="shared" si="2"/>
        <v>28193.97</v>
      </c>
      <c r="R35" s="48">
        <f t="shared" si="3"/>
        <v>10028193.969999999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/>
      <c r="G36" s="46" t="s">
        <v>28</v>
      </c>
      <c r="H36" s="32">
        <v>0</v>
      </c>
      <c r="I36" s="44"/>
      <c r="J36" s="32"/>
      <c r="K36" s="53">
        <f t="shared" si="0"/>
        <v>0</v>
      </c>
      <c r="L36" s="53">
        <f t="shared" si="1"/>
        <v>0</v>
      </c>
      <c r="M36" s="4"/>
      <c r="N36" s="4"/>
      <c r="O36" s="5">
        <v>0</v>
      </c>
      <c r="P36" s="94"/>
      <c r="Q36" s="6"/>
      <c r="R36" s="48">
        <f t="shared" si="3"/>
        <v>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45" t="s">
        <v>60</v>
      </c>
      <c r="G37" s="46" t="s">
        <v>28</v>
      </c>
      <c r="H37" s="138">
        <v>6500000</v>
      </c>
      <c r="I37" s="137"/>
      <c r="J37" s="138"/>
      <c r="K37" s="53">
        <f t="shared" si="0"/>
        <v>6500000</v>
      </c>
      <c r="L37" s="53">
        <f t="shared" si="1"/>
        <v>6500000</v>
      </c>
      <c r="M37" s="139"/>
      <c r="N37" s="139">
        <v>18349.71</v>
      </c>
      <c r="O37" s="5">
        <f>18399.99+16619.34+18326.09</f>
        <v>53345.42</v>
      </c>
      <c r="P37" s="140">
        <f>18349.71+18399.99+16619.34</f>
        <v>53369.03999999999</v>
      </c>
      <c r="Q37" s="32">
        <f t="shared" si="2"/>
        <v>18326.09000000001</v>
      </c>
      <c r="R37" s="32">
        <f t="shared" si="3"/>
        <v>6518326.09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45" t="s">
        <v>60</v>
      </c>
      <c r="G38" s="46" t="s">
        <v>28</v>
      </c>
      <c r="H38" s="138">
        <v>12400000</v>
      </c>
      <c r="I38" s="137"/>
      <c r="J38" s="138"/>
      <c r="K38" s="153">
        <f t="shared" si="0"/>
        <v>12400000</v>
      </c>
      <c r="L38" s="153">
        <f t="shared" si="1"/>
        <v>12400000</v>
      </c>
      <c r="M38" s="139"/>
      <c r="N38" s="139">
        <v>35005.61</v>
      </c>
      <c r="O38" s="154">
        <f>35101.51+31704.59+35073.32</f>
        <v>101879.42000000001</v>
      </c>
      <c r="P38" s="140">
        <f>35005.61+35101.51+31704.59</f>
        <v>101811.70999999999</v>
      </c>
      <c r="Q38" s="32">
        <f t="shared" si="2"/>
        <v>35073.320000000036</v>
      </c>
      <c r="R38" s="32">
        <f t="shared" si="3"/>
        <v>12435073.319999998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66.75" customHeight="1">
      <c r="A39" s="50"/>
      <c r="B39" s="42" t="s">
        <v>15</v>
      </c>
      <c r="C39" s="52" t="s">
        <v>70</v>
      </c>
      <c r="D39" s="52" t="s">
        <v>34</v>
      </c>
      <c r="E39" s="44">
        <v>24800000</v>
      </c>
      <c r="F39" s="45" t="s">
        <v>71</v>
      </c>
      <c r="G39" s="46" t="s">
        <v>28</v>
      </c>
      <c r="H39" s="138">
        <v>24800000</v>
      </c>
      <c r="I39" s="174">
        <f>-(5756000+7084000)</f>
        <v>-12840000</v>
      </c>
      <c r="J39" s="138"/>
      <c r="K39" s="153">
        <f>H39+I39-J39</f>
        <v>11960000</v>
      </c>
      <c r="L39" s="153">
        <f>K39</f>
        <v>11960000</v>
      </c>
      <c r="M39" s="139"/>
      <c r="N39" s="139">
        <v>70011.21</v>
      </c>
      <c r="O39" s="154">
        <f>70203.02+20027.22+33719.99</f>
        <v>123950.23000000001</v>
      </c>
      <c r="P39" s="140">
        <f>70011.21+70203.02+20027.22</f>
        <v>160241.45</v>
      </c>
      <c r="Q39" s="32">
        <f>N39+O39-P39</f>
        <v>33719.98999999999</v>
      </c>
      <c r="R39" s="32">
        <f>K39+N39+O39-P39</f>
        <v>11993719.990000002</v>
      </c>
      <c r="S39" s="49"/>
      <c r="T39" s="49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66.75" customHeight="1">
      <c r="A40" s="50"/>
      <c r="B40" s="132" t="s">
        <v>15</v>
      </c>
      <c r="C40" s="43" t="s">
        <v>76</v>
      </c>
      <c r="D40" s="43" t="s">
        <v>34</v>
      </c>
      <c r="E40" s="2">
        <v>16000000</v>
      </c>
      <c r="F40" s="93" t="s">
        <v>78</v>
      </c>
      <c r="G40" s="46" t="s">
        <v>28</v>
      </c>
      <c r="H40" s="138">
        <v>16000000</v>
      </c>
      <c r="I40" s="174">
        <v>-4000000</v>
      </c>
      <c r="J40" s="138"/>
      <c r="K40" s="153">
        <f>H40+I40-J40</f>
        <v>12000000</v>
      </c>
      <c r="L40" s="153">
        <f>K40</f>
        <v>12000000</v>
      </c>
      <c r="M40" s="139"/>
      <c r="N40" s="139">
        <v>8742.3</v>
      </c>
      <c r="O40" s="154">
        <f>45292.27+27394.52+33832.77</f>
        <v>106519.56</v>
      </c>
      <c r="P40" s="140">
        <f>8742.3+45292.27+27394.52</f>
        <v>81429.09</v>
      </c>
      <c r="Q40" s="32">
        <f>N40+O40-P40</f>
        <v>33832.770000000004</v>
      </c>
      <c r="R40" s="32">
        <f>K40+N40+O40-P40</f>
        <v>12033832.770000001</v>
      </c>
      <c r="S40" s="49"/>
      <c r="T40" s="49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66.75" customHeight="1">
      <c r="A41" s="180">
        <v>17</v>
      </c>
      <c r="B41" s="162" t="s">
        <v>15</v>
      </c>
      <c r="C41" s="163" t="s">
        <v>105</v>
      </c>
      <c r="D41" s="163" t="s">
        <v>34</v>
      </c>
      <c r="E41" s="164">
        <v>36756000</v>
      </c>
      <c r="F41" s="165" t="s">
        <v>106</v>
      </c>
      <c r="G41" s="46" t="s">
        <v>28</v>
      </c>
      <c r="H41" s="138"/>
      <c r="I41" s="174">
        <v>36756000</v>
      </c>
      <c r="J41" s="138"/>
      <c r="K41" s="153">
        <f>H41+I41-J41</f>
        <v>36756000</v>
      </c>
      <c r="L41" s="153">
        <f>K41</f>
        <v>36756000</v>
      </c>
      <c r="M41" s="139"/>
      <c r="N41" s="139"/>
      <c r="O41" s="154"/>
      <c r="P41" s="140"/>
      <c r="Q41" s="32">
        <f>N41+O41-P41</f>
        <v>0</v>
      </c>
      <c r="R41" s="32">
        <f>K41+N41+O41-P41</f>
        <v>36756000</v>
      </c>
      <c r="S41" s="49"/>
      <c r="T41" s="49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.75" customHeight="1" thickBot="1">
      <c r="A42" s="95" t="s">
        <v>21</v>
      </c>
      <c r="B42" s="18"/>
      <c r="C42" s="18"/>
      <c r="D42" s="96"/>
      <c r="E42" s="97"/>
      <c r="F42" s="98"/>
      <c r="G42" s="98"/>
      <c r="H42" s="136">
        <f>H23+H24+H25+H26+H27+H28+H29+H31+H33+H34+H35+H36+H37+H38+H39+H40+H30+H32+H41</f>
        <v>107985000</v>
      </c>
      <c r="I42" s="136">
        <f aca="true" t="shared" si="4" ref="I42:R42">I23+I24+I25+I26+I27+I28+I29+I31+I33+I34+I35+I36+I37+I38+I39+I40+I30+I32+I41</f>
        <v>0</v>
      </c>
      <c r="J42" s="136">
        <f t="shared" si="4"/>
        <v>1296000</v>
      </c>
      <c r="K42" s="136">
        <f t="shared" si="4"/>
        <v>106689000</v>
      </c>
      <c r="L42" s="136">
        <f t="shared" si="4"/>
        <v>106689000</v>
      </c>
      <c r="M42" s="136">
        <f t="shared" si="4"/>
        <v>0</v>
      </c>
      <c r="N42" s="136">
        <f t="shared" si="4"/>
        <v>216818.72000000003</v>
      </c>
      <c r="O42" s="136">
        <f t="shared" si="4"/>
        <v>524721.77</v>
      </c>
      <c r="P42" s="136">
        <f t="shared" si="4"/>
        <v>592229.91</v>
      </c>
      <c r="Q42" s="136">
        <f t="shared" si="4"/>
        <v>149310.58000000005</v>
      </c>
      <c r="R42" s="136">
        <f t="shared" si="4"/>
        <v>106838310.58</v>
      </c>
      <c r="S42" s="136">
        <f>S23+S24+S25+S26+S27+S28+S29+S31+S33+S34+S35+S36+S37+S38+S39+S40</f>
        <v>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19" ht="16.5" customHeight="1" thickBot="1">
      <c r="A43" s="141" t="s">
        <v>19</v>
      </c>
      <c r="B43" s="142" t="s">
        <v>23</v>
      </c>
      <c r="C43" s="142"/>
      <c r="D43" s="142"/>
      <c r="E43" s="142"/>
      <c r="F43" s="142"/>
      <c r="G43" s="20"/>
      <c r="H43" s="10"/>
      <c r="I43" s="10"/>
      <c r="J43" s="10"/>
      <c r="K43" s="10"/>
      <c r="L43" s="99"/>
      <c r="M43" s="10"/>
      <c r="N43" s="10"/>
      <c r="O43" s="10"/>
      <c r="P43" s="146"/>
      <c r="Q43" s="10"/>
      <c r="R43" s="147"/>
      <c r="S43" s="25"/>
    </row>
    <row r="44" spans="1:19" ht="69" customHeight="1">
      <c r="A44" s="144">
        <v>1</v>
      </c>
      <c r="B44" s="42" t="s">
        <v>23</v>
      </c>
      <c r="C44" s="145" t="s">
        <v>57</v>
      </c>
      <c r="D44" s="132" t="s">
        <v>58</v>
      </c>
      <c r="E44" s="17">
        <v>9000000</v>
      </c>
      <c r="F44" s="132" t="s">
        <v>63</v>
      </c>
      <c r="G44" s="133" t="s">
        <v>28</v>
      </c>
      <c r="H44" s="7">
        <v>9000000</v>
      </c>
      <c r="I44" s="159"/>
      <c r="J44" s="7">
        <v>9000000</v>
      </c>
      <c r="K44" s="6">
        <f>H44+I44-J44</f>
        <v>0</v>
      </c>
      <c r="L44" s="6">
        <f>K44</f>
        <v>0</v>
      </c>
      <c r="M44" s="3"/>
      <c r="N44" s="3">
        <v>0</v>
      </c>
      <c r="O44" s="3">
        <f>133767.12+120821.92-4315.07</f>
        <v>250273.96999999997</v>
      </c>
      <c r="P44" s="17">
        <f>133767.12+120821.92-4315.07</f>
        <v>250273.96999999997</v>
      </c>
      <c r="Q44" s="6">
        <f>N44+O44-P44</f>
        <v>0</v>
      </c>
      <c r="R44" s="6">
        <f>K44+N44+O44-P44</f>
        <v>0</v>
      </c>
      <c r="S44" s="25"/>
    </row>
    <row r="45" spans="1:19" ht="69" customHeight="1">
      <c r="A45" s="152">
        <v>2</v>
      </c>
      <c r="B45" s="42" t="s">
        <v>23</v>
      </c>
      <c r="C45" s="145" t="s">
        <v>61</v>
      </c>
      <c r="D45" s="132" t="s">
        <v>58</v>
      </c>
      <c r="E45" s="17">
        <v>5000000</v>
      </c>
      <c r="F45" s="132" t="s">
        <v>62</v>
      </c>
      <c r="G45" s="133" t="s">
        <v>28</v>
      </c>
      <c r="H45" s="7"/>
      <c r="I45" s="159"/>
      <c r="J45" s="7"/>
      <c r="K45" s="6">
        <f>H45+I45-J45</f>
        <v>0</v>
      </c>
      <c r="L45" s="6">
        <f>K45</f>
        <v>0</v>
      </c>
      <c r="M45" s="3"/>
      <c r="N45" s="3">
        <v>0</v>
      </c>
      <c r="O45" s="17"/>
      <c r="P45" s="17"/>
      <c r="Q45" s="6">
        <f>N45+O45-P45</f>
        <v>0</v>
      </c>
      <c r="R45" s="6">
        <f>K45+N45+O45-P45</f>
        <v>0</v>
      </c>
      <c r="S45" s="25"/>
    </row>
    <row r="46" spans="1:19" ht="69" customHeight="1">
      <c r="A46" s="152">
        <v>3</v>
      </c>
      <c r="B46" s="42" t="s">
        <v>23</v>
      </c>
      <c r="C46" s="145" t="s">
        <v>68</v>
      </c>
      <c r="D46" s="132" t="s">
        <v>58</v>
      </c>
      <c r="E46" s="17"/>
      <c r="F46" s="132" t="s">
        <v>80</v>
      </c>
      <c r="G46" s="133" t="s">
        <v>28</v>
      </c>
      <c r="H46" s="159">
        <v>10000000</v>
      </c>
      <c r="I46" s="159"/>
      <c r="J46" s="159">
        <v>10000000</v>
      </c>
      <c r="K46" s="6">
        <f>H46+I46-J46</f>
        <v>0</v>
      </c>
      <c r="L46" s="6">
        <f>K46</f>
        <v>0</v>
      </c>
      <c r="M46" s="3"/>
      <c r="N46" s="3">
        <v>0</v>
      </c>
      <c r="O46" s="3">
        <f>148630.14+134246.58</f>
        <v>282876.72</v>
      </c>
      <c r="P46" s="17">
        <f>148630.14+134246.58</f>
        <v>282876.72</v>
      </c>
      <c r="Q46" s="6">
        <f>N46+O46-P46</f>
        <v>0</v>
      </c>
      <c r="R46" s="6">
        <f>K46+N46+O46-P46</f>
        <v>0</v>
      </c>
      <c r="S46" s="25"/>
    </row>
    <row r="47" spans="1:19" ht="69" customHeight="1">
      <c r="A47" s="152">
        <v>4</v>
      </c>
      <c r="B47" s="42" t="s">
        <v>23</v>
      </c>
      <c r="C47" s="145" t="s">
        <v>77</v>
      </c>
      <c r="D47" s="132" t="s">
        <v>58</v>
      </c>
      <c r="E47" s="17"/>
      <c r="F47" s="158">
        <v>43439</v>
      </c>
      <c r="G47" s="133"/>
      <c r="H47" s="159">
        <v>8000000</v>
      </c>
      <c r="I47" s="159"/>
      <c r="J47" s="159">
        <v>8000000</v>
      </c>
      <c r="K47" s="6">
        <f>H47+I47-J47</f>
        <v>0</v>
      </c>
      <c r="L47" s="6">
        <f>K47</f>
        <v>0</v>
      </c>
      <c r="M47" s="3"/>
      <c r="N47" s="3"/>
      <c r="O47" s="3">
        <f>105315.07+95123.29</f>
        <v>200438.36</v>
      </c>
      <c r="P47" s="17">
        <f>105315.07+95123.29</f>
        <v>200438.36</v>
      </c>
      <c r="Q47" s="6">
        <f>N47+O47-P47</f>
        <v>0</v>
      </c>
      <c r="R47" s="6">
        <f>K47+N47+O47-P47</f>
        <v>0</v>
      </c>
      <c r="S47" s="25"/>
    </row>
    <row r="48" spans="1:19" ht="16.5" customHeight="1" thickBot="1">
      <c r="A48" s="95" t="s">
        <v>21</v>
      </c>
      <c r="B48" s="143"/>
      <c r="C48" s="143"/>
      <c r="D48" s="14"/>
      <c r="E48" s="14"/>
      <c r="F48" s="14"/>
      <c r="G48" s="14"/>
      <c r="H48" s="4">
        <f>H44+H45+H46+H47</f>
        <v>27000000</v>
      </c>
      <c r="I48" s="4">
        <f aca="true" t="shared" si="5" ref="I48:R48">I44+I45+I46+I47</f>
        <v>0</v>
      </c>
      <c r="J48" s="4">
        <f t="shared" si="5"/>
        <v>27000000</v>
      </c>
      <c r="K48" s="1">
        <f t="shared" si="5"/>
        <v>0</v>
      </c>
      <c r="L48" s="1">
        <f t="shared" si="5"/>
        <v>0</v>
      </c>
      <c r="M48" s="1">
        <f t="shared" si="5"/>
        <v>0</v>
      </c>
      <c r="N48" s="1">
        <f t="shared" si="5"/>
        <v>0</v>
      </c>
      <c r="O48" s="1">
        <f t="shared" si="5"/>
        <v>733589.0499999999</v>
      </c>
      <c r="P48" s="1">
        <f t="shared" si="5"/>
        <v>733589.0499999999</v>
      </c>
      <c r="Q48" s="1">
        <f t="shared" si="5"/>
        <v>0</v>
      </c>
      <c r="R48" s="1">
        <f t="shared" si="5"/>
        <v>0</v>
      </c>
      <c r="S48" s="1">
        <f>S44+S45+S46</f>
        <v>0</v>
      </c>
    </row>
    <row r="49" spans="1:35" s="83" customFormat="1" ht="18" customHeight="1" thickBot="1">
      <c r="A49" s="101" t="s">
        <v>5</v>
      </c>
      <c r="B49" s="102" t="s">
        <v>22</v>
      </c>
      <c r="C49" s="102"/>
      <c r="D49" s="148"/>
      <c r="E49" s="148"/>
      <c r="F49" s="148"/>
      <c r="G49" s="148"/>
      <c r="H49" s="148"/>
      <c r="I49" s="143"/>
      <c r="J49" s="143"/>
      <c r="K49" s="143"/>
      <c r="L49" s="143"/>
      <c r="M49" s="143"/>
      <c r="N49" s="143"/>
      <c r="O49" s="143"/>
      <c r="P49" s="151"/>
      <c r="Q49" s="143"/>
      <c r="R49" s="149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s="83" customFormat="1" ht="69.75" customHeight="1" hidden="1">
      <c r="A50" s="101"/>
      <c r="B50" s="103"/>
      <c r="C50" s="104"/>
      <c r="D50" s="104"/>
      <c r="E50" s="105"/>
      <c r="F50" s="104"/>
      <c r="G50" s="46"/>
      <c r="H50" s="62"/>
      <c r="I50" s="62"/>
      <c r="J50" s="33"/>
      <c r="K50" s="62"/>
      <c r="L50" s="32"/>
      <c r="M50" s="21"/>
      <c r="N50" s="21"/>
      <c r="O50" s="21"/>
      <c r="P50" s="150"/>
      <c r="Q50" s="62"/>
      <c r="R50" s="62"/>
      <c r="S50" s="82"/>
      <c r="T50" s="106"/>
      <c r="U50" s="106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s="83" customFormat="1" ht="18" customHeight="1" thickBot="1">
      <c r="A51" s="107" t="s">
        <v>21</v>
      </c>
      <c r="B51" s="108"/>
      <c r="C51" s="109"/>
      <c r="D51" s="109"/>
      <c r="E51" s="110"/>
      <c r="F51" s="111"/>
      <c r="G51" s="104"/>
      <c r="H51" s="34">
        <f>H50</f>
        <v>0</v>
      </c>
      <c r="I51" s="34">
        <f>I50</f>
        <v>0</v>
      </c>
      <c r="J51" s="34">
        <f>J50</f>
        <v>0</v>
      </c>
      <c r="K51" s="34">
        <f>K50</f>
        <v>0</v>
      </c>
      <c r="L51" s="34">
        <f>L50</f>
        <v>0</v>
      </c>
      <c r="M51" s="22">
        <v>3</v>
      </c>
      <c r="N51" s="22">
        <v>0</v>
      </c>
      <c r="O51" s="22">
        <v>0</v>
      </c>
      <c r="P51" s="22">
        <v>0</v>
      </c>
      <c r="Q51" s="34">
        <f>K51</f>
        <v>0</v>
      </c>
      <c r="R51" s="34">
        <f>Q51</f>
        <v>0</v>
      </c>
      <c r="S51" s="82"/>
      <c r="T51" s="11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20" ht="16.5" customHeight="1" thickBot="1">
      <c r="A52" s="113"/>
      <c r="B52" s="20" t="s">
        <v>16</v>
      </c>
      <c r="C52" s="19"/>
      <c r="D52" s="19"/>
      <c r="E52" s="19"/>
      <c r="F52" s="100"/>
      <c r="G52" s="114"/>
      <c r="H52" s="23">
        <f>H42+H50+H48</f>
        <v>134985000</v>
      </c>
      <c r="I52" s="23">
        <f aca="true" t="shared" si="6" ref="I52:R52">I42+I50+I48</f>
        <v>0</v>
      </c>
      <c r="J52" s="23">
        <f t="shared" si="6"/>
        <v>28296000</v>
      </c>
      <c r="K52" s="23">
        <f>K42+K50+K48</f>
        <v>106689000</v>
      </c>
      <c r="L52" s="23">
        <f t="shared" si="6"/>
        <v>106689000</v>
      </c>
      <c r="M52" s="23">
        <f t="shared" si="6"/>
        <v>0</v>
      </c>
      <c r="N52" s="23">
        <f t="shared" si="6"/>
        <v>216818.72000000003</v>
      </c>
      <c r="O52" s="23">
        <f t="shared" si="6"/>
        <v>1258310.8199999998</v>
      </c>
      <c r="P52" s="23">
        <f t="shared" si="6"/>
        <v>1325818.96</v>
      </c>
      <c r="Q52" s="23">
        <f t="shared" si="6"/>
        <v>149310.58000000005</v>
      </c>
      <c r="R52" s="23">
        <f t="shared" si="6"/>
        <v>106838310.58</v>
      </c>
      <c r="S52" s="25"/>
      <c r="T52" s="115"/>
    </row>
    <row r="53" spans="1:19" ht="16.5" customHeight="1">
      <c r="A53" s="25"/>
      <c r="B53" s="82"/>
      <c r="C53" s="10"/>
      <c r="D53" s="10"/>
      <c r="E53" s="10"/>
      <c r="F53" s="10"/>
      <c r="G53" s="10"/>
      <c r="H53" s="24"/>
      <c r="I53" s="24"/>
      <c r="J53" s="24"/>
      <c r="K53" s="24"/>
      <c r="L53" s="24"/>
      <c r="M53" s="40"/>
      <c r="N53" s="24"/>
      <c r="O53" s="24"/>
      <c r="P53" s="24"/>
      <c r="Q53" s="24"/>
      <c r="R53" s="24"/>
      <c r="S53" s="25"/>
    </row>
    <row r="54" spans="1:19" ht="16.5" customHeight="1">
      <c r="A54" s="25"/>
      <c r="B54" s="10" t="s">
        <v>36</v>
      </c>
      <c r="C54" s="10"/>
      <c r="D54" s="10"/>
      <c r="E54" s="10"/>
      <c r="F54" s="10"/>
      <c r="G54" s="10"/>
      <c r="H54" s="24" t="s">
        <v>45</v>
      </c>
      <c r="I54" s="24"/>
      <c r="J54" s="24"/>
      <c r="K54" s="24"/>
      <c r="L54" s="24"/>
      <c r="M54" s="40"/>
      <c r="N54" s="24"/>
      <c r="O54" s="24"/>
      <c r="P54" s="40"/>
      <c r="Q54" s="24"/>
      <c r="R54" s="24"/>
      <c r="S54" s="25"/>
    </row>
    <row r="55" spans="1:19" ht="16.5" customHeight="1">
      <c r="A55" s="2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4"/>
      <c r="Q55" s="10"/>
      <c r="R55" s="10"/>
      <c r="S55" s="25"/>
    </row>
    <row r="56" spans="1:19" ht="15.75" customHeight="1">
      <c r="A56" s="25"/>
      <c r="B56" s="10" t="s">
        <v>27</v>
      </c>
      <c r="C56" s="10"/>
      <c r="D56" s="116"/>
      <c r="E56" s="117"/>
      <c r="F56" s="117"/>
      <c r="G56" s="117"/>
      <c r="H56" s="35" t="s">
        <v>67</v>
      </c>
      <c r="I56" s="35"/>
      <c r="J56" s="35"/>
      <c r="K56" s="35"/>
      <c r="L56" s="35"/>
      <c r="M56" s="10"/>
      <c r="N56" s="10"/>
      <c r="O56" s="10"/>
      <c r="P56" s="10"/>
      <c r="Q56" s="10"/>
      <c r="R56" s="10"/>
      <c r="S56" s="25"/>
    </row>
    <row r="57" spans="1:19" ht="15.75" customHeight="1">
      <c r="A57" s="25"/>
      <c r="B57" s="10" t="s">
        <v>26</v>
      </c>
      <c r="C57" s="10"/>
      <c r="D57" s="116"/>
      <c r="E57" s="117"/>
      <c r="F57" s="117"/>
      <c r="G57" s="117"/>
      <c r="H57" s="35"/>
      <c r="I57" s="35"/>
      <c r="J57" s="35"/>
      <c r="K57" s="118"/>
      <c r="L57" s="118"/>
      <c r="M57" s="10"/>
      <c r="N57" s="10"/>
      <c r="O57" s="10"/>
      <c r="P57" s="10"/>
      <c r="Q57" s="10"/>
      <c r="R57" s="10"/>
      <c r="S57" s="25"/>
    </row>
    <row r="58" spans="1:19" ht="12.75">
      <c r="A58" s="25"/>
      <c r="B58" s="10"/>
      <c r="C58" s="10"/>
      <c r="D58" s="39"/>
      <c r="E58" s="10"/>
      <c r="F58" s="10"/>
      <c r="G58" s="10"/>
      <c r="H58" s="36"/>
      <c r="I58" s="36"/>
      <c r="J58" s="36"/>
      <c r="K58" s="36"/>
      <c r="L58" s="36"/>
      <c r="M58" s="10"/>
      <c r="N58" s="10"/>
      <c r="O58" s="10"/>
      <c r="P58" s="10"/>
      <c r="Q58" s="10"/>
      <c r="R58" s="10"/>
      <c r="S58" s="25"/>
    </row>
    <row r="59" spans="1:19" ht="0.75" customHeight="1">
      <c r="A59" s="25"/>
      <c r="B59" s="10"/>
      <c r="C59" s="10"/>
      <c r="D59" s="39"/>
      <c r="E59" s="10"/>
      <c r="F59" s="10"/>
      <c r="G59" s="10"/>
      <c r="H59" s="119"/>
      <c r="I59" s="36"/>
      <c r="J59" s="36"/>
      <c r="K59" s="36"/>
      <c r="L59" s="36"/>
      <c r="M59" s="10"/>
      <c r="N59" s="10"/>
      <c r="O59" s="10"/>
      <c r="P59" s="10"/>
      <c r="Q59" s="10"/>
      <c r="R59" s="10"/>
      <c r="S59" s="25"/>
    </row>
    <row r="60" spans="1:19" ht="14.25" customHeight="1" hidden="1">
      <c r="A60" s="25"/>
      <c r="B60" s="10"/>
      <c r="C60" s="10"/>
      <c r="D60" s="39"/>
      <c r="E60" s="10"/>
      <c r="F60" s="10"/>
      <c r="G60" s="10"/>
      <c r="H60" s="36"/>
      <c r="I60" s="36"/>
      <c r="J60" s="36"/>
      <c r="K60" s="36"/>
      <c r="L60" s="36"/>
      <c r="M60" s="10"/>
      <c r="N60" s="10"/>
      <c r="O60" s="10"/>
      <c r="P60" s="10"/>
      <c r="Q60" s="10"/>
      <c r="R60" s="10"/>
      <c r="S60" s="25"/>
    </row>
    <row r="61" spans="1:19" ht="13.5" customHeight="1" hidden="1">
      <c r="A61" s="25"/>
      <c r="B61" s="10"/>
      <c r="C61" s="10"/>
      <c r="D61" s="10"/>
      <c r="E61" s="10"/>
      <c r="F61" s="10"/>
      <c r="G61" s="10"/>
      <c r="H61" s="37"/>
      <c r="I61" s="37"/>
      <c r="J61" s="37"/>
      <c r="K61" s="37"/>
      <c r="L61" s="37"/>
      <c r="M61" s="10"/>
      <c r="N61" s="10"/>
      <c r="O61" s="10"/>
      <c r="P61" s="10"/>
      <c r="Q61" s="10"/>
      <c r="R61" s="10"/>
      <c r="S61" s="25"/>
    </row>
    <row r="62" spans="2:18" s="25" customFormat="1" ht="12.75" customHeight="1">
      <c r="B62" s="10" t="s">
        <v>14</v>
      </c>
      <c r="C62" s="39"/>
      <c r="D62" s="120"/>
      <c r="E62" s="121"/>
      <c r="F62" s="10"/>
      <c r="G62" s="10"/>
      <c r="H62" s="37"/>
      <c r="I62" s="37"/>
      <c r="J62" s="37"/>
      <c r="K62" s="37"/>
      <c r="L62" s="37"/>
      <c r="M62" s="10"/>
      <c r="N62" s="10"/>
      <c r="O62" s="10"/>
      <c r="P62" s="10"/>
      <c r="Q62" s="10"/>
      <c r="R62" s="10"/>
    </row>
    <row r="63" spans="1:18" s="25" customFormat="1" ht="9.75" customHeight="1">
      <c r="A63" s="122"/>
      <c r="B63" s="123" t="s">
        <v>20</v>
      </c>
      <c r="C63" s="10"/>
      <c r="D63" s="10"/>
      <c r="E63" s="124"/>
      <c r="F63" s="124"/>
      <c r="G63" s="125"/>
      <c r="H63" s="38"/>
      <c r="I63" s="38"/>
      <c r="J63" s="38"/>
      <c r="K63" s="38"/>
      <c r="L63" s="38"/>
      <c r="M63" s="10"/>
      <c r="N63" s="10"/>
      <c r="O63" s="10"/>
      <c r="P63" s="10"/>
      <c r="Q63" s="10"/>
      <c r="R63" s="10"/>
    </row>
    <row r="64" spans="2:18" s="25" customFormat="1" ht="12.75">
      <c r="B64" s="39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126"/>
      <c r="G68" s="126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1:18" s="25" customFormat="1" ht="18.75">
      <c r="A69" s="122"/>
      <c r="B69" s="122"/>
      <c r="C69" s="127"/>
      <c r="D69" s="127"/>
      <c r="E69" s="127"/>
      <c r="F69" s="127"/>
      <c r="G69" s="127"/>
      <c r="H69" s="39"/>
      <c r="I69" s="39"/>
      <c r="J69" s="39"/>
      <c r="K69" s="39"/>
      <c r="L69" s="39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38"/>
      <c r="F70" s="38"/>
      <c r="G70" s="38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38"/>
      <c r="F71" s="38"/>
      <c r="G71" s="38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38"/>
      <c r="F72" s="38"/>
      <c r="G72" s="38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1:18" s="25" customFormat="1" ht="18.75">
      <c r="A73" s="128"/>
      <c r="B73" s="10"/>
      <c r="C73" s="10"/>
      <c r="D73" s="10"/>
      <c r="E73" s="125"/>
      <c r="F73" s="125"/>
      <c r="G73" s="125"/>
      <c r="H73" s="38"/>
      <c r="I73" s="38"/>
      <c r="J73" s="38"/>
      <c r="K73" s="38"/>
      <c r="L73" s="38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117"/>
      <c r="F74" s="129"/>
      <c r="G74" s="129"/>
      <c r="H74" s="35"/>
      <c r="I74" s="35"/>
      <c r="J74" s="35"/>
      <c r="K74" s="35"/>
      <c r="L74" s="35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16"/>
      <c r="E75" s="117"/>
      <c r="F75" s="129"/>
      <c r="G75" s="129"/>
      <c r="H75" s="35"/>
      <c r="I75" s="35"/>
      <c r="J75" s="35"/>
      <c r="K75" s="35"/>
      <c r="L75" s="35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29"/>
      <c r="G76" s="129"/>
      <c r="H76" s="35"/>
      <c r="I76" s="35"/>
      <c r="J76" s="35"/>
      <c r="K76" s="35"/>
      <c r="L76" s="35"/>
      <c r="M76" s="10"/>
      <c r="N76" s="10"/>
      <c r="O76" s="10"/>
      <c r="P76" s="10"/>
      <c r="Q76" s="10"/>
      <c r="R76" s="10"/>
    </row>
    <row r="77" spans="1:18" s="25" customFormat="1" ht="18.75">
      <c r="A77" s="122"/>
      <c r="B77" s="122"/>
      <c r="C77" s="122"/>
      <c r="D77" s="122"/>
      <c r="E77" s="122"/>
      <c r="F77" s="122"/>
      <c r="G77" s="130"/>
      <c r="H77" s="131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 s="25" customFormat="1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 s="25" customFormat="1" ht="12.75">
      <c r="B79" s="10"/>
      <c r="C79" s="10"/>
      <c r="D79" s="116"/>
      <c r="E79" s="117"/>
      <c r="F79" s="117"/>
      <c r="G79" s="117"/>
      <c r="H79" s="35"/>
      <c r="I79" s="35"/>
      <c r="J79" s="35"/>
      <c r="K79" s="118"/>
      <c r="L79" s="118"/>
      <c r="M79" s="10"/>
      <c r="N79" s="10"/>
      <c r="O79" s="10"/>
      <c r="P79" s="10"/>
      <c r="Q79" s="10"/>
      <c r="R79" s="10"/>
    </row>
    <row r="80" spans="2:18" s="25" customFormat="1" ht="12.75">
      <c r="B80" s="10"/>
      <c r="C80" s="10"/>
      <c r="D80" s="39"/>
      <c r="E80" s="10"/>
      <c r="F80" s="10"/>
      <c r="G80" s="10"/>
      <c r="H80" s="36"/>
      <c r="I80" s="36"/>
      <c r="J80" s="36"/>
      <c r="K80" s="36"/>
      <c r="L80" s="36"/>
      <c r="M80" s="10"/>
      <c r="N80" s="10"/>
      <c r="O80" s="10"/>
      <c r="Q80" s="10"/>
      <c r="R80" s="10"/>
    </row>
    <row r="81" s="25" customFormat="1" ht="12.75">
      <c r="P81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81"/>
  <sheetViews>
    <sheetView zoomScalePageLayoutView="0" workbookViewId="0" topLeftCell="AP8">
      <pane xSplit="21165" topLeftCell="O1" activePane="topLeft" state="split"/>
      <selection pane="topLeft" activeCell="T8" sqref="T1:AO16384"/>
      <selection pane="topRight" activeCell="J8" sqref="J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hidden="1" customWidth="1"/>
    <col min="21" max="21" width="12.875" style="8" hidden="1" customWidth="1"/>
    <col min="22" max="22" width="11.75390625" style="8" hidden="1" customWidth="1"/>
    <col min="23" max="41" width="0" style="8" hidden="1" customWidth="1"/>
    <col min="42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95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89</v>
      </c>
      <c r="J8" s="11" t="s">
        <v>90</v>
      </c>
      <c r="K8" s="11" t="s">
        <v>91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8">H23+I23-J23</f>
        <v>0</v>
      </c>
      <c r="L23" s="47">
        <f aca="true" t="shared" si="1" ref="L23:L38">K23</f>
        <v>0</v>
      </c>
      <c r="M23" s="7"/>
      <c r="N23" s="7"/>
      <c r="O23" s="5"/>
      <c r="P23" s="7"/>
      <c r="Q23" s="6">
        <f aca="true" t="shared" si="2" ref="Q23:Q38">N23+O23-P23</f>
        <v>0</v>
      </c>
      <c r="R23" s="48">
        <f aca="true" t="shared" si="3" ref="R23:R38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>
        <f>120000+120000+120000+120000</f>
        <v>480000</v>
      </c>
      <c r="K25" s="53">
        <f t="shared" si="0"/>
        <v>359000</v>
      </c>
      <c r="L25" s="47">
        <f t="shared" si="1"/>
        <v>359000</v>
      </c>
      <c r="M25" s="7"/>
      <c r="N25" s="7">
        <v>71.06</v>
      </c>
      <c r="O25" s="5">
        <f>63.04+52.2+45.62+35.1</f>
        <v>195.96</v>
      </c>
      <c r="P25" s="7">
        <f>71.06+63.04+52.2+45.62</f>
        <v>231.92000000000002</v>
      </c>
      <c r="Q25" s="6">
        <f t="shared" si="2"/>
        <v>35.099999999999966</v>
      </c>
      <c r="R25" s="48">
        <f t="shared" si="3"/>
        <v>359035.10000000003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>
        <f>312000+312000+312000+312000</f>
        <v>1248000</v>
      </c>
      <c r="K26" s="53">
        <f t="shared" si="0"/>
        <v>936000</v>
      </c>
      <c r="L26" s="47">
        <f t="shared" si="1"/>
        <v>936000</v>
      </c>
      <c r="M26" s="7"/>
      <c r="N26" s="7">
        <v>184.98</v>
      </c>
      <c r="O26" s="5">
        <f>164.12+135.92+118.82+91.47</f>
        <v>510.3299999999999</v>
      </c>
      <c r="P26" s="7">
        <f>184.98+164.12+135.92+118.82</f>
        <v>603.8399999999999</v>
      </c>
      <c r="Q26" s="6">
        <f t="shared" si="2"/>
        <v>91.47000000000003</v>
      </c>
      <c r="R26" s="48">
        <f t="shared" si="3"/>
        <v>936091.47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47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47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7107000</v>
      </c>
      <c r="I29" s="167">
        <f>-(5523000+1584000)</f>
        <v>-7107000</v>
      </c>
      <c r="J29" s="32"/>
      <c r="K29" s="53">
        <f t="shared" si="0"/>
        <v>0</v>
      </c>
      <c r="L29" s="47">
        <f t="shared" si="1"/>
        <v>0</v>
      </c>
      <c r="M29" s="7"/>
      <c r="N29" s="7">
        <v>4471.68</v>
      </c>
      <c r="O29" s="5">
        <f>4483.94</f>
        <v>4483.94</v>
      </c>
      <c r="P29" s="7">
        <f>4471.68+4483.94</f>
        <v>8955.619999999999</v>
      </c>
      <c r="Q29" s="6">
        <f t="shared" si="2"/>
        <v>0</v>
      </c>
      <c r="R29" s="48">
        <f t="shared" si="3"/>
        <v>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65"/>
      <c r="G30" s="166"/>
      <c r="H30" s="167"/>
      <c r="I30" s="167">
        <v>5523000</v>
      </c>
      <c r="J30" s="167"/>
      <c r="K30" s="168">
        <f t="shared" si="0"/>
        <v>5523000</v>
      </c>
      <c r="L30" s="160">
        <f t="shared" si="1"/>
        <v>5523000</v>
      </c>
      <c r="M30" s="169"/>
      <c r="N30" s="169"/>
      <c r="O30" s="170"/>
      <c r="P30" s="169"/>
      <c r="Q30" s="6">
        <f t="shared" si="2"/>
        <v>0</v>
      </c>
      <c r="R30" s="48">
        <f t="shared" si="3"/>
        <v>5523000</v>
      </c>
      <c r="S30" s="171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5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45" t="s">
        <v>47</v>
      </c>
      <c r="G31" s="46" t="s">
        <v>28</v>
      </c>
      <c r="H31" s="32">
        <v>5055000</v>
      </c>
      <c r="I31" s="167">
        <f>-(2723000+2332000)</f>
        <v>-5055000</v>
      </c>
      <c r="J31" s="32"/>
      <c r="K31" s="53">
        <f t="shared" si="0"/>
        <v>0</v>
      </c>
      <c r="L31" s="47">
        <f t="shared" si="1"/>
        <v>0</v>
      </c>
      <c r="M31" s="7"/>
      <c r="N31" s="7">
        <v>6583.31</v>
      </c>
      <c r="O31" s="5">
        <f>6601.35</f>
        <v>6601.35</v>
      </c>
      <c r="P31" s="7">
        <f>6583.31+6601.35</f>
        <v>13184.66</v>
      </c>
      <c r="Q31" s="6">
        <f t="shared" si="2"/>
        <v>0</v>
      </c>
      <c r="R31" s="48">
        <f t="shared" si="3"/>
        <v>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73" customFormat="1" ht="66.75" customHeight="1">
      <c r="A32" s="161"/>
      <c r="B32" s="162"/>
      <c r="C32" s="163" t="s">
        <v>103</v>
      </c>
      <c r="D32" s="163"/>
      <c r="E32" s="164"/>
      <c r="F32" s="165"/>
      <c r="G32" s="166"/>
      <c r="H32" s="167"/>
      <c r="I32" s="167">
        <v>2723000</v>
      </c>
      <c r="J32" s="167"/>
      <c r="K32" s="168">
        <f t="shared" si="0"/>
        <v>2723000</v>
      </c>
      <c r="L32" s="160">
        <f t="shared" si="1"/>
        <v>2723000</v>
      </c>
      <c r="M32" s="169"/>
      <c r="N32" s="169"/>
      <c r="O32" s="170"/>
      <c r="P32" s="169"/>
      <c r="Q32" s="6">
        <f t="shared" si="2"/>
        <v>0</v>
      </c>
      <c r="R32" s="48">
        <f t="shared" si="3"/>
        <v>2723000</v>
      </c>
      <c r="S32" s="171"/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45" t="s">
        <v>51</v>
      </c>
      <c r="G33" s="46" t="s">
        <v>28</v>
      </c>
      <c r="H33" s="32">
        <v>6000000</v>
      </c>
      <c r="I33" s="32">
        <v>-6000000</v>
      </c>
      <c r="J33" s="32"/>
      <c r="K33" s="53">
        <f t="shared" si="0"/>
        <v>0</v>
      </c>
      <c r="L33" s="47">
        <f t="shared" si="1"/>
        <v>0</v>
      </c>
      <c r="M33" s="7"/>
      <c r="N33" s="7">
        <v>16938.2</v>
      </c>
      <c r="O33" s="5">
        <f>16984.6</f>
        <v>16984.6</v>
      </c>
      <c r="P33" s="94">
        <f>16938.2+16984.6</f>
        <v>33922.8</v>
      </c>
      <c r="Q33" s="6">
        <f t="shared" si="2"/>
        <v>0</v>
      </c>
      <c r="R33" s="48">
        <f t="shared" si="3"/>
        <v>0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93" t="s">
        <v>53</v>
      </c>
      <c r="G34" s="133" t="s">
        <v>28</v>
      </c>
      <c r="H34" s="6">
        <v>10000000</v>
      </c>
      <c r="I34" s="6">
        <v>-10000000</v>
      </c>
      <c r="J34" s="6"/>
      <c r="K34" s="47">
        <f t="shared" si="0"/>
        <v>0</v>
      </c>
      <c r="L34" s="47">
        <f t="shared" si="1"/>
        <v>0</v>
      </c>
      <c r="M34" s="7"/>
      <c r="N34" s="7">
        <v>28230.33</v>
      </c>
      <c r="O34" s="134">
        <f>28307.67</f>
        <v>28307.67</v>
      </c>
      <c r="P34" s="135">
        <f>28230.33+28307.67</f>
        <v>56538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45"/>
      <c r="G35" s="133" t="s">
        <v>28</v>
      </c>
      <c r="H35" s="32">
        <v>10000000</v>
      </c>
      <c r="I35" s="44"/>
      <c r="J35" s="32"/>
      <c r="K35" s="47">
        <f t="shared" si="0"/>
        <v>10000000</v>
      </c>
      <c r="L35" s="47">
        <f t="shared" si="1"/>
        <v>10000000</v>
      </c>
      <c r="M35" s="4"/>
      <c r="N35" s="4">
        <v>28230.33</v>
      </c>
      <c r="O35" s="5">
        <f>28307.67+25568.22+28193.97+26712.33</f>
        <v>108782.19</v>
      </c>
      <c r="P35" s="94">
        <f>28230.33+28307.67+25568.22+28193.97</f>
        <v>110300.19</v>
      </c>
      <c r="Q35" s="6">
        <f t="shared" si="2"/>
        <v>26712.330000000016</v>
      </c>
      <c r="R35" s="48">
        <f t="shared" si="3"/>
        <v>10026712.33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/>
      <c r="G36" s="46" t="s">
        <v>28</v>
      </c>
      <c r="H36" s="32">
        <v>0</v>
      </c>
      <c r="I36" s="44"/>
      <c r="J36" s="32"/>
      <c r="K36" s="53">
        <f t="shared" si="0"/>
        <v>0</v>
      </c>
      <c r="L36" s="53">
        <f t="shared" si="1"/>
        <v>0</v>
      </c>
      <c r="M36" s="4"/>
      <c r="N36" s="4"/>
      <c r="O36" s="5">
        <v>0</v>
      </c>
      <c r="P36" s="94"/>
      <c r="Q36" s="6"/>
      <c r="R36" s="48">
        <f t="shared" si="3"/>
        <v>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45" t="s">
        <v>60</v>
      </c>
      <c r="G37" s="46" t="s">
        <v>28</v>
      </c>
      <c r="H37" s="138">
        <v>6500000</v>
      </c>
      <c r="I37" s="137"/>
      <c r="J37" s="138"/>
      <c r="K37" s="53">
        <f t="shared" si="0"/>
        <v>6500000</v>
      </c>
      <c r="L37" s="53">
        <f t="shared" si="1"/>
        <v>6500000</v>
      </c>
      <c r="M37" s="139"/>
      <c r="N37" s="139">
        <v>18349.71</v>
      </c>
      <c r="O37" s="5">
        <f>18399.99+16619.34+18326.09+17363.01</f>
        <v>70708.43</v>
      </c>
      <c r="P37" s="140">
        <f>18349.71+18399.99+16619.34+18326.09</f>
        <v>71695.12999999999</v>
      </c>
      <c r="Q37" s="32">
        <f t="shared" si="2"/>
        <v>17363.009999999995</v>
      </c>
      <c r="R37" s="32">
        <f t="shared" si="3"/>
        <v>6517363.01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45" t="s">
        <v>60</v>
      </c>
      <c r="G38" s="46" t="s">
        <v>28</v>
      </c>
      <c r="H38" s="138">
        <v>12400000</v>
      </c>
      <c r="I38" s="137"/>
      <c r="J38" s="138"/>
      <c r="K38" s="153">
        <f t="shared" si="0"/>
        <v>12400000</v>
      </c>
      <c r="L38" s="153">
        <f t="shared" si="1"/>
        <v>12400000</v>
      </c>
      <c r="M38" s="139"/>
      <c r="N38" s="139">
        <v>35005.61</v>
      </c>
      <c r="O38" s="154">
        <f>35101.51+31704.59+35073.32+33010.5</f>
        <v>134889.92</v>
      </c>
      <c r="P38" s="140">
        <f>35005.61+35101.51+31704.59+35073.32</f>
        <v>136885.03</v>
      </c>
      <c r="Q38" s="32">
        <f t="shared" si="2"/>
        <v>33010.50000000003</v>
      </c>
      <c r="R38" s="32">
        <f t="shared" si="3"/>
        <v>12433010.5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66.75" customHeight="1">
      <c r="A39" s="50"/>
      <c r="B39" s="42" t="s">
        <v>15</v>
      </c>
      <c r="C39" s="52" t="s">
        <v>70</v>
      </c>
      <c r="D39" s="52" t="s">
        <v>34</v>
      </c>
      <c r="E39" s="44">
        <v>24800000</v>
      </c>
      <c r="F39" s="45" t="s">
        <v>71</v>
      </c>
      <c r="G39" s="46" t="s">
        <v>28</v>
      </c>
      <c r="H39" s="138">
        <v>24800000</v>
      </c>
      <c r="I39" s="174">
        <f>-(5756000+7084000)</f>
        <v>-12840000</v>
      </c>
      <c r="J39" s="138"/>
      <c r="K39" s="153">
        <f>H39+I39-J39</f>
        <v>11960000</v>
      </c>
      <c r="L39" s="153">
        <f>K39</f>
        <v>11960000</v>
      </c>
      <c r="M39" s="139"/>
      <c r="N39" s="139">
        <v>70011.21</v>
      </c>
      <c r="O39" s="154">
        <f>70203.02+20027.22+33719.99+31947.95</f>
        <v>155898.18000000002</v>
      </c>
      <c r="P39" s="140">
        <f>70011.21+70203.02+20027.22+33719.99</f>
        <v>193961.44</v>
      </c>
      <c r="Q39" s="32">
        <f>N39+O39-P39</f>
        <v>31947.95000000001</v>
      </c>
      <c r="R39" s="32">
        <f>K39+N39+O39-P39</f>
        <v>11991947.950000001</v>
      </c>
      <c r="S39" s="49"/>
      <c r="T39" s="49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66.75" customHeight="1">
      <c r="A40" s="50"/>
      <c r="B40" s="132" t="s">
        <v>15</v>
      </c>
      <c r="C40" s="43" t="s">
        <v>76</v>
      </c>
      <c r="D40" s="43" t="s">
        <v>34</v>
      </c>
      <c r="E40" s="2">
        <v>16000000</v>
      </c>
      <c r="F40" s="93" t="s">
        <v>78</v>
      </c>
      <c r="G40" s="133" t="s">
        <v>28</v>
      </c>
      <c r="H40" s="138">
        <v>16000000</v>
      </c>
      <c r="I40" s="174">
        <v>-4000000</v>
      </c>
      <c r="J40" s="138"/>
      <c r="K40" s="153">
        <f>H40+I40-J40</f>
        <v>12000000</v>
      </c>
      <c r="L40" s="153">
        <f>K40</f>
        <v>12000000</v>
      </c>
      <c r="M40" s="139"/>
      <c r="N40" s="139">
        <v>8742.3</v>
      </c>
      <c r="O40" s="154">
        <f>45292.27+27394.52+33832.77+32054.79</f>
        <v>138574.35</v>
      </c>
      <c r="P40" s="140">
        <f>8742.3+45292.27+27394.52+33832.77</f>
        <v>115261.85999999999</v>
      </c>
      <c r="Q40" s="32">
        <f>N40+O40-P40</f>
        <v>32054.790000000008</v>
      </c>
      <c r="R40" s="32">
        <f>K40+N40+O40-P40</f>
        <v>12032054.790000001</v>
      </c>
      <c r="S40" s="49"/>
      <c r="T40" s="49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66.75" customHeight="1">
      <c r="A41" s="180">
        <v>17</v>
      </c>
      <c r="B41" s="162" t="s">
        <v>15</v>
      </c>
      <c r="C41" s="163" t="s">
        <v>105</v>
      </c>
      <c r="D41" s="163" t="s">
        <v>34</v>
      </c>
      <c r="E41" s="164">
        <v>36756000</v>
      </c>
      <c r="F41" s="165" t="s">
        <v>106</v>
      </c>
      <c r="G41" s="46" t="s">
        <v>28</v>
      </c>
      <c r="H41" s="138"/>
      <c r="I41" s="174">
        <v>36756000</v>
      </c>
      <c r="J41" s="138"/>
      <c r="K41" s="153">
        <f>H41+I41-J41</f>
        <v>36756000</v>
      </c>
      <c r="L41" s="153">
        <f>K41</f>
        <v>36756000</v>
      </c>
      <c r="M41" s="139"/>
      <c r="N41" s="139"/>
      <c r="O41" s="154"/>
      <c r="P41" s="140"/>
      <c r="Q41" s="32">
        <f>N41+O41-P41</f>
        <v>0</v>
      </c>
      <c r="R41" s="32">
        <f>K41+N41+O41-P41</f>
        <v>36756000</v>
      </c>
      <c r="S41" s="49"/>
      <c r="T41" s="49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.75" customHeight="1" thickBot="1">
      <c r="A42" s="95" t="s">
        <v>21</v>
      </c>
      <c r="B42" s="18"/>
      <c r="C42" s="18"/>
      <c r="D42" s="96"/>
      <c r="E42" s="97"/>
      <c r="F42" s="98"/>
      <c r="G42" s="98"/>
      <c r="H42" s="136">
        <f>H23+H24+H25+H26+H27+H28+H29+H31+H33+H34+H35+H36+H37+H38+H39+H40+H30+H32+H41</f>
        <v>107985000</v>
      </c>
      <c r="I42" s="136">
        <f aca="true" t="shared" si="4" ref="I42:R42">I23+I24+I25+I26+I27+I28+I29+I31+I33+I34+I35+I36+I37+I38+I39+I40+I30+I32+I41</f>
        <v>0</v>
      </c>
      <c r="J42" s="136">
        <f t="shared" si="4"/>
        <v>1728000</v>
      </c>
      <c r="K42" s="136">
        <f t="shared" si="4"/>
        <v>106257000</v>
      </c>
      <c r="L42" s="136">
        <f t="shared" si="4"/>
        <v>106257000</v>
      </c>
      <c r="M42" s="136">
        <f t="shared" si="4"/>
        <v>0</v>
      </c>
      <c r="N42" s="136">
        <f t="shared" si="4"/>
        <v>216818.72000000003</v>
      </c>
      <c r="O42" s="136">
        <f t="shared" si="4"/>
        <v>665936.92</v>
      </c>
      <c r="P42" s="136">
        <f t="shared" si="4"/>
        <v>741540.4899999999</v>
      </c>
      <c r="Q42" s="136">
        <f t="shared" si="4"/>
        <v>141215.15000000005</v>
      </c>
      <c r="R42" s="136">
        <f t="shared" si="4"/>
        <v>106398215.15</v>
      </c>
      <c r="S42" s="136">
        <f>S23+S24+S25+S26+S27+S28+S29+S31+S33+S34+S35+S36+S37+S38+S39+S40</f>
        <v>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19" ht="16.5" customHeight="1" thickBot="1">
      <c r="A43" s="141" t="s">
        <v>19</v>
      </c>
      <c r="B43" s="142" t="s">
        <v>23</v>
      </c>
      <c r="C43" s="142"/>
      <c r="D43" s="142"/>
      <c r="E43" s="142"/>
      <c r="F43" s="142"/>
      <c r="G43" s="20"/>
      <c r="H43" s="10"/>
      <c r="I43" s="10"/>
      <c r="J43" s="10"/>
      <c r="K43" s="10"/>
      <c r="L43" s="99"/>
      <c r="M43" s="10"/>
      <c r="N43" s="10"/>
      <c r="O43" s="10"/>
      <c r="P43" s="146"/>
      <c r="Q43" s="10"/>
      <c r="R43" s="147"/>
      <c r="S43" s="25"/>
    </row>
    <row r="44" spans="1:19" ht="69" customHeight="1">
      <c r="A44" s="144">
        <v>1</v>
      </c>
      <c r="B44" s="42" t="s">
        <v>23</v>
      </c>
      <c r="C44" s="145" t="s">
        <v>57</v>
      </c>
      <c r="D44" s="132" t="s">
        <v>58</v>
      </c>
      <c r="E44" s="17">
        <v>9000000</v>
      </c>
      <c r="F44" s="132" t="s">
        <v>63</v>
      </c>
      <c r="G44" s="133" t="s">
        <v>28</v>
      </c>
      <c r="H44" s="7">
        <v>9000000</v>
      </c>
      <c r="I44" s="159"/>
      <c r="J44" s="7">
        <v>9000000</v>
      </c>
      <c r="K44" s="6">
        <f>H44+I44-J44</f>
        <v>0</v>
      </c>
      <c r="L44" s="6">
        <f>K44</f>
        <v>0</v>
      </c>
      <c r="M44" s="3"/>
      <c r="N44" s="3">
        <v>0</v>
      </c>
      <c r="O44" s="3">
        <f>133767.12+120821.92-4315.07</f>
        <v>250273.96999999997</v>
      </c>
      <c r="P44" s="17">
        <f>133767.12+120821.92-4315.07</f>
        <v>250273.96999999997</v>
      </c>
      <c r="Q44" s="6">
        <f>N44+O44-P44</f>
        <v>0</v>
      </c>
      <c r="R44" s="6">
        <f>K44+N44+O44-P44</f>
        <v>0</v>
      </c>
      <c r="S44" s="25"/>
    </row>
    <row r="45" spans="1:19" ht="69" customHeight="1">
      <c r="A45" s="152">
        <v>2</v>
      </c>
      <c r="B45" s="42" t="s">
        <v>23</v>
      </c>
      <c r="C45" s="145" t="s">
        <v>61</v>
      </c>
      <c r="D45" s="132" t="s">
        <v>58</v>
      </c>
      <c r="E45" s="17">
        <v>5000000</v>
      </c>
      <c r="F45" s="132" t="s">
        <v>62</v>
      </c>
      <c r="G45" s="133" t="s">
        <v>28</v>
      </c>
      <c r="H45" s="7"/>
      <c r="I45" s="159"/>
      <c r="J45" s="7"/>
      <c r="K45" s="6">
        <f>H45+I45-J45</f>
        <v>0</v>
      </c>
      <c r="L45" s="6">
        <f>K45</f>
        <v>0</v>
      </c>
      <c r="M45" s="3"/>
      <c r="N45" s="3">
        <v>0</v>
      </c>
      <c r="O45" s="17"/>
      <c r="P45" s="17"/>
      <c r="Q45" s="6">
        <f>N45+O45-P45</f>
        <v>0</v>
      </c>
      <c r="R45" s="6">
        <f>K45+N45+O45-P45</f>
        <v>0</v>
      </c>
      <c r="S45" s="25"/>
    </row>
    <row r="46" spans="1:19" ht="69" customHeight="1">
      <c r="A46" s="152">
        <v>3</v>
      </c>
      <c r="B46" s="42" t="s">
        <v>23</v>
      </c>
      <c r="C46" s="145" t="s">
        <v>68</v>
      </c>
      <c r="D46" s="132" t="s">
        <v>58</v>
      </c>
      <c r="E46" s="17"/>
      <c r="F46" s="132" t="s">
        <v>80</v>
      </c>
      <c r="G46" s="133" t="s">
        <v>28</v>
      </c>
      <c r="H46" s="159">
        <v>10000000</v>
      </c>
      <c r="I46" s="159"/>
      <c r="J46" s="159">
        <v>10000000</v>
      </c>
      <c r="K46" s="6">
        <f>H46+I46-J46</f>
        <v>0</v>
      </c>
      <c r="L46" s="6">
        <f>K46</f>
        <v>0</v>
      </c>
      <c r="M46" s="3"/>
      <c r="N46" s="3">
        <v>0</v>
      </c>
      <c r="O46" s="3">
        <f>148630.14+134246.58</f>
        <v>282876.72</v>
      </c>
      <c r="P46" s="17">
        <f>148630.14+134246.58</f>
        <v>282876.72</v>
      </c>
      <c r="Q46" s="6">
        <f>N46+O46-P46</f>
        <v>0</v>
      </c>
      <c r="R46" s="6">
        <f>K46+N46+O46-P46</f>
        <v>0</v>
      </c>
      <c r="S46" s="25"/>
    </row>
    <row r="47" spans="1:19" ht="69" customHeight="1">
      <c r="A47" s="152">
        <v>4</v>
      </c>
      <c r="B47" s="42" t="s">
        <v>23</v>
      </c>
      <c r="C47" s="145" t="s">
        <v>77</v>
      </c>
      <c r="D47" s="132" t="s">
        <v>58</v>
      </c>
      <c r="E47" s="17"/>
      <c r="F47" s="158">
        <v>43439</v>
      </c>
      <c r="G47" s="133"/>
      <c r="H47" s="159">
        <v>8000000</v>
      </c>
      <c r="I47" s="159"/>
      <c r="J47" s="159">
        <v>8000000</v>
      </c>
      <c r="K47" s="6">
        <f>H47+I47-J47</f>
        <v>0</v>
      </c>
      <c r="L47" s="6">
        <f>K47</f>
        <v>0</v>
      </c>
      <c r="M47" s="3"/>
      <c r="N47" s="3"/>
      <c r="O47" s="3">
        <f>105315.07+95123.29</f>
        <v>200438.36</v>
      </c>
      <c r="P47" s="17">
        <f>105315.07+95123.29</f>
        <v>200438.36</v>
      </c>
      <c r="Q47" s="6">
        <f>N47+O47-P47</f>
        <v>0</v>
      </c>
      <c r="R47" s="6">
        <f>K47+N47+O47-P47</f>
        <v>0</v>
      </c>
      <c r="S47" s="25"/>
    </row>
    <row r="48" spans="1:19" ht="16.5" customHeight="1" thickBot="1">
      <c r="A48" s="95" t="s">
        <v>21</v>
      </c>
      <c r="B48" s="143"/>
      <c r="C48" s="143"/>
      <c r="D48" s="14"/>
      <c r="E48" s="14"/>
      <c r="F48" s="14"/>
      <c r="G48" s="14"/>
      <c r="H48" s="4">
        <f>H44+H45+H46+H47</f>
        <v>27000000</v>
      </c>
      <c r="I48" s="4">
        <f aca="true" t="shared" si="5" ref="I48:R48">I44+I45+I46+I47</f>
        <v>0</v>
      </c>
      <c r="J48" s="4">
        <f t="shared" si="5"/>
        <v>27000000</v>
      </c>
      <c r="K48" s="1">
        <f t="shared" si="5"/>
        <v>0</v>
      </c>
      <c r="L48" s="1">
        <f t="shared" si="5"/>
        <v>0</v>
      </c>
      <c r="M48" s="1">
        <f t="shared" si="5"/>
        <v>0</v>
      </c>
      <c r="N48" s="1">
        <f t="shared" si="5"/>
        <v>0</v>
      </c>
      <c r="O48" s="1">
        <f t="shared" si="5"/>
        <v>733589.0499999999</v>
      </c>
      <c r="P48" s="1">
        <f t="shared" si="5"/>
        <v>733589.0499999999</v>
      </c>
      <c r="Q48" s="1">
        <f t="shared" si="5"/>
        <v>0</v>
      </c>
      <c r="R48" s="1">
        <f t="shared" si="5"/>
        <v>0</v>
      </c>
      <c r="S48" s="1">
        <f>S44+S45+S46</f>
        <v>0</v>
      </c>
    </row>
    <row r="49" spans="1:35" s="83" customFormat="1" ht="18" customHeight="1" thickBot="1">
      <c r="A49" s="101" t="s">
        <v>5</v>
      </c>
      <c r="B49" s="102" t="s">
        <v>22</v>
      </c>
      <c r="C49" s="102"/>
      <c r="D49" s="148"/>
      <c r="E49" s="148"/>
      <c r="F49" s="148"/>
      <c r="G49" s="148"/>
      <c r="H49" s="148"/>
      <c r="I49" s="143"/>
      <c r="J49" s="143"/>
      <c r="K49" s="143"/>
      <c r="L49" s="143"/>
      <c r="M49" s="143"/>
      <c r="N49" s="143"/>
      <c r="O49" s="143"/>
      <c r="P49" s="151"/>
      <c r="Q49" s="143"/>
      <c r="R49" s="149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s="83" customFormat="1" ht="69.75" customHeight="1" hidden="1">
      <c r="A50" s="101"/>
      <c r="B50" s="103"/>
      <c r="C50" s="104"/>
      <c r="D50" s="104"/>
      <c r="E50" s="105"/>
      <c r="F50" s="104"/>
      <c r="G50" s="46"/>
      <c r="H50" s="62"/>
      <c r="I50" s="62"/>
      <c r="J50" s="33"/>
      <c r="K50" s="62"/>
      <c r="L50" s="32"/>
      <c r="M50" s="21"/>
      <c r="N50" s="21"/>
      <c r="O50" s="21"/>
      <c r="P50" s="150"/>
      <c r="Q50" s="62"/>
      <c r="R50" s="62"/>
      <c r="S50" s="82"/>
      <c r="T50" s="106"/>
      <c r="U50" s="106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s="83" customFormat="1" ht="18" customHeight="1" thickBot="1">
      <c r="A51" s="107" t="s">
        <v>21</v>
      </c>
      <c r="B51" s="108"/>
      <c r="C51" s="109"/>
      <c r="D51" s="109"/>
      <c r="E51" s="110"/>
      <c r="F51" s="111"/>
      <c r="G51" s="104"/>
      <c r="H51" s="34">
        <f>H50</f>
        <v>0</v>
      </c>
      <c r="I51" s="34">
        <f>I50</f>
        <v>0</v>
      </c>
      <c r="J51" s="34">
        <f>J50</f>
        <v>0</v>
      </c>
      <c r="K51" s="34">
        <f>K50</f>
        <v>0</v>
      </c>
      <c r="L51" s="34">
        <f>L50</f>
        <v>0</v>
      </c>
      <c r="M51" s="22">
        <v>3</v>
      </c>
      <c r="N51" s="22">
        <v>0</v>
      </c>
      <c r="O51" s="22">
        <v>0</v>
      </c>
      <c r="P51" s="22">
        <v>0</v>
      </c>
      <c r="Q51" s="34">
        <f>K51</f>
        <v>0</v>
      </c>
      <c r="R51" s="34">
        <f>Q51</f>
        <v>0</v>
      </c>
      <c r="S51" s="82"/>
      <c r="T51" s="11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20" ht="16.5" customHeight="1" thickBot="1">
      <c r="A52" s="113"/>
      <c r="B52" s="20" t="s">
        <v>16</v>
      </c>
      <c r="C52" s="19"/>
      <c r="D52" s="19"/>
      <c r="E52" s="19"/>
      <c r="F52" s="100"/>
      <c r="G52" s="114"/>
      <c r="H52" s="23">
        <f>H42+H50+H48</f>
        <v>134985000</v>
      </c>
      <c r="I52" s="23">
        <f aca="true" t="shared" si="6" ref="I52:R52">I42+I50+I48</f>
        <v>0</v>
      </c>
      <c r="J52" s="23">
        <f t="shared" si="6"/>
        <v>28728000</v>
      </c>
      <c r="K52" s="23">
        <f>K42+K50+K48</f>
        <v>106257000</v>
      </c>
      <c r="L52" s="23">
        <f t="shared" si="6"/>
        <v>106257000</v>
      </c>
      <c r="M52" s="23">
        <f t="shared" si="6"/>
        <v>0</v>
      </c>
      <c r="N52" s="23">
        <f t="shared" si="6"/>
        <v>216818.72000000003</v>
      </c>
      <c r="O52" s="23">
        <f t="shared" si="6"/>
        <v>1399525.97</v>
      </c>
      <c r="P52" s="23">
        <f t="shared" si="6"/>
        <v>1475129.5399999998</v>
      </c>
      <c r="Q52" s="23">
        <f t="shared" si="6"/>
        <v>141215.15000000005</v>
      </c>
      <c r="R52" s="23">
        <f t="shared" si="6"/>
        <v>106398215.15</v>
      </c>
      <c r="S52" s="25"/>
      <c r="T52" s="115"/>
    </row>
    <row r="53" spans="1:19" ht="16.5" customHeight="1">
      <c r="A53" s="25"/>
      <c r="B53" s="82"/>
      <c r="C53" s="10"/>
      <c r="D53" s="10"/>
      <c r="E53" s="10"/>
      <c r="F53" s="10"/>
      <c r="G53" s="10"/>
      <c r="H53" s="24"/>
      <c r="I53" s="24"/>
      <c r="J53" s="24"/>
      <c r="K53" s="24"/>
      <c r="L53" s="24"/>
      <c r="M53" s="40"/>
      <c r="N53" s="24"/>
      <c r="O53" s="24"/>
      <c r="P53" s="24"/>
      <c r="Q53" s="24"/>
      <c r="R53" s="24"/>
      <c r="S53" s="25"/>
    </row>
    <row r="54" spans="1:19" ht="16.5" customHeight="1">
      <c r="A54" s="25"/>
      <c r="B54" s="10" t="s">
        <v>36</v>
      </c>
      <c r="C54" s="10"/>
      <c r="D54" s="10"/>
      <c r="E54" s="10"/>
      <c r="F54" s="10"/>
      <c r="G54" s="10"/>
      <c r="H54" s="24" t="s">
        <v>45</v>
      </c>
      <c r="I54" s="24"/>
      <c r="J54" s="24"/>
      <c r="K54" s="24"/>
      <c r="L54" s="24"/>
      <c r="M54" s="40"/>
      <c r="N54" s="24"/>
      <c r="O54" s="24"/>
      <c r="P54" s="40"/>
      <c r="Q54" s="24"/>
      <c r="R54" s="24"/>
      <c r="S54" s="25"/>
    </row>
    <row r="55" spans="1:19" ht="16.5" customHeight="1">
      <c r="A55" s="2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4"/>
      <c r="Q55" s="10"/>
      <c r="R55" s="10"/>
      <c r="S55" s="25"/>
    </row>
    <row r="56" spans="1:19" ht="15.75" customHeight="1">
      <c r="A56" s="25"/>
      <c r="B56" s="10" t="s">
        <v>27</v>
      </c>
      <c r="C56" s="10"/>
      <c r="D56" s="116"/>
      <c r="E56" s="117"/>
      <c r="F56" s="117"/>
      <c r="G56" s="117"/>
      <c r="H56" s="35" t="s">
        <v>67</v>
      </c>
      <c r="I56" s="35"/>
      <c r="J56" s="35"/>
      <c r="K56" s="35"/>
      <c r="L56" s="35"/>
      <c r="M56" s="10"/>
      <c r="N56" s="10"/>
      <c r="O56" s="10"/>
      <c r="P56" s="10"/>
      <c r="Q56" s="10"/>
      <c r="R56" s="10"/>
      <c r="S56" s="25"/>
    </row>
    <row r="57" spans="1:19" ht="15.75" customHeight="1">
      <c r="A57" s="25"/>
      <c r="B57" s="10" t="s">
        <v>26</v>
      </c>
      <c r="C57" s="10"/>
      <c r="D57" s="116"/>
      <c r="E57" s="117"/>
      <c r="F57" s="117"/>
      <c r="G57" s="117"/>
      <c r="H57" s="35"/>
      <c r="I57" s="35"/>
      <c r="J57" s="35"/>
      <c r="K57" s="118"/>
      <c r="L57" s="118"/>
      <c r="M57" s="10"/>
      <c r="N57" s="10"/>
      <c r="O57" s="10"/>
      <c r="P57" s="10"/>
      <c r="Q57" s="10"/>
      <c r="R57" s="10"/>
      <c r="S57" s="25"/>
    </row>
    <row r="58" spans="1:19" ht="12.75">
      <c r="A58" s="25"/>
      <c r="B58" s="10"/>
      <c r="C58" s="10"/>
      <c r="D58" s="39"/>
      <c r="E58" s="10"/>
      <c r="F58" s="10"/>
      <c r="G58" s="10"/>
      <c r="H58" s="36"/>
      <c r="I58" s="36"/>
      <c r="J58" s="36"/>
      <c r="K58" s="36"/>
      <c r="L58" s="36"/>
      <c r="M58" s="10"/>
      <c r="N58" s="10"/>
      <c r="O58" s="10"/>
      <c r="P58" s="10"/>
      <c r="Q58" s="10"/>
      <c r="R58" s="10"/>
      <c r="S58" s="25"/>
    </row>
    <row r="59" spans="1:19" ht="0.75" customHeight="1">
      <c r="A59" s="25"/>
      <c r="B59" s="10"/>
      <c r="C59" s="10"/>
      <c r="D59" s="39"/>
      <c r="E59" s="10"/>
      <c r="F59" s="10"/>
      <c r="G59" s="10"/>
      <c r="H59" s="119"/>
      <c r="I59" s="36"/>
      <c r="J59" s="36"/>
      <c r="K59" s="36"/>
      <c r="L59" s="36"/>
      <c r="M59" s="10"/>
      <c r="N59" s="10"/>
      <c r="O59" s="10"/>
      <c r="P59" s="10"/>
      <c r="Q59" s="10"/>
      <c r="R59" s="10"/>
      <c r="S59" s="25"/>
    </row>
    <row r="60" spans="1:19" ht="14.25" customHeight="1" hidden="1">
      <c r="A60" s="25"/>
      <c r="B60" s="10"/>
      <c r="C60" s="10"/>
      <c r="D60" s="39"/>
      <c r="E60" s="10"/>
      <c r="F60" s="10"/>
      <c r="G60" s="10"/>
      <c r="H60" s="36"/>
      <c r="I60" s="36"/>
      <c r="J60" s="36"/>
      <c r="K60" s="36"/>
      <c r="L60" s="36"/>
      <c r="M60" s="10"/>
      <c r="N60" s="10"/>
      <c r="O60" s="10"/>
      <c r="P60" s="10"/>
      <c r="Q60" s="10"/>
      <c r="R60" s="10"/>
      <c r="S60" s="25"/>
    </row>
    <row r="61" spans="1:19" ht="13.5" customHeight="1" hidden="1">
      <c r="A61" s="25"/>
      <c r="B61" s="10"/>
      <c r="C61" s="10"/>
      <c r="D61" s="10"/>
      <c r="E61" s="10"/>
      <c r="F61" s="10"/>
      <c r="G61" s="10"/>
      <c r="H61" s="37"/>
      <c r="I61" s="37"/>
      <c r="J61" s="37"/>
      <c r="K61" s="37"/>
      <c r="L61" s="37"/>
      <c r="M61" s="10"/>
      <c r="N61" s="10"/>
      <c r="O61" s="10"/>
      <c r="P61" s="10"/>
      <c r="Q61" s="10"/>
      <c r="R61" s="10"/>
      <c r="S61" s="25"/>
    </row>
    <row r="62" spans="2:18" s="25" customFormat="1" ht="12.75" customHeight="1">
      <c r="B62" s="10" t="s">
        <v>14</v>
      </c>
      <c r="C62" s="39"/>
      <c r="D62" s="120"/>
      <c r="E62" s="121"/>
      <c r="F62" s="10"/>
      <c r="G62" s="10"/>
      <c r="H62" s="37"/>
      <c r="I62" s="37"/>
      <c r="J62" s="37"/>
      <c r="K62" s="37"/>
      <c r="L62" s="37"/>
      <c r="M62" s="10"/>
      <c r="N62" s="10"/>
      <c r="O62" s="10"/>
      <c r="P62" s="10"/>
      <c r="Q62" s="10"/>
      <c r="R62" s="10"/>
    </row>
    <row r="63" spans="1:18" s="25" customFormat="1" ht="9.75" customHeight="1">
      <c r="A63" s="122"/>
      <c r="B63" s="123" t="s">
        <v>20</v>
      </c>
      <c r="C63" s="10"/>
      <c r="D63" s="10"/>
      <c r="E63" s="124"/>
      <c r="F63" s="124"/>
      <c r="G63" s="125"/>
      <c r="H63" s="38"/>
      <c r="I63" s="38"/>
      <c r="J63" s="38"/>
      <c r="K63" s="38"/>
      <c r="L63" s="38"/>
      <c r="M63" s="10"/>
      <c r="N63" s="10"/>
      <c r="O63" s="10"/>
      <c r="P63" s="10"/>
      <c r="Q63" s="10"/>
      <c r="R63" s="10"/>
    </row>
    <row r="64" spans="2:18" s="25" customFormat="1" ht="12.75">
      <c r="B64" s="39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126"/>
      <c r="G68" s="126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1:18" s="25" customFormat="1" ht="18.75">
      <c r="A69" s="122"/>
      <c r="B69" s="122"/>
      <c r="C69" s="127"/>
      <c r="D69" s="127"/>
      <c r="E69" s="127"/>
      <c r="F69" s="127"/>
      <c r="G69" s="127"/>
      <c r="H69" s="39"/>
      <c r="I69" s="39"/>
      <c r="J69" s="39"/>
      <c r="K69" s="39"/>
      <c r="L69" s="39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38"/>
      <c r="F70" s="38"/>
      <c r="G70" s="38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38"/>
      <c r="F71" s="38"/>
      <c r="G71" s="38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38"/>
      <c r="F72" s="38"/>
      <c r="G72" s="38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1:18" s="25" customFormat="1" ht="18.75">
      <c r="A73" s="128"/>
      <c r="B73" s="10"/>
      <c r="C73" s="10"/>
      <c r="D73" s="10"/>
      <c r="E73" s="125"/>
      <c r="F73" s="125"/>
      <c r="G73" s="125"/>
      <c r="H73" s="38"/>
      <c r="I73" s="38"/>
      <c r="J73" s="38"/>
      <c r="K73" s="38"/>
      <c r="L73" s="38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117"/>
      <c r="F74" s="129"/>
      <c r="G74" s="129"/>
      <c r="H74" s="35"/>
      <c r="I74" s="35"/>
      <c r="J74" s="35"/>
      <c r="K74" s="35"/>
      <c r="L74" s="35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16"/>
      <c r="E75" s="117"/>
      <c r="F75" s="129"/>
      <c r="G75" s="129"/>
      <c r="H75" s="35"/>
      <c r="I75" s="35"/>
      <c r="J75" s="35"/>
      <c r="K75" s="35"/>
      <c r="L75" s="35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29"/>
      <c r="G76" s="129"/>
      <c r="H76" s="35"/>
      <c r="I76" s="35"/>
      <c r="J76" s="35"/>
      <c r="K76" s="35"/>
      <c r="L76" s="35"/>
      <c r="M76" s="10"/>
      <c r="N76" s="10"/>
      <c r="O76" s="10"/>
      <c r="P76" s="10"/>
      <c r="Q76" s="10"/>
      <c r="R76" s="10"/>
    </row>
    <row r="77" spans="1:18" s="25" customFormat="1" ht="18.75">
      <c r="A77" s="122"/>
      <c r="B77" s="122"/>
      <c r="C77" s="122"/>
      <c r="D77" s="122"/>
      <c r="E77" s="122"/>
      <c r="F77" s="122"/>
      <c r="G77" s="130"/>
      <c r="H77" s="131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 s="25" customFormat="1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 s="25" customFormat="1" ht="12.75">
      <c r="B79" s="10"/>
      <c r="C79" s="10"/>
      <c r="D79" s="116"/>
      <c r="E79" s="117"/>
      <c r="F79" s="117"/>
      <c r="G79" s="117"/>
      <c r="H79" s="35"/>
      <c r="I79" s="35"/>
      <c r="J79" s="35"/>
      <c r="K79" s="118"/>
      <c r="L79" s="118"/>
      <c r="M79" s="10"/>
      <c r="N79" s="10"/>
      <c r="O79" s="10"/>
      <c r="P79" s="10"/>
      <c r="Q79" s="10"/>
      <c r="R79" s="10"/>
    </row>
    <row r="80" spans="2:18" s="25" customFormat="1" ht="12.75">
      <c r="B80" s="10"/>
      <c r="C80" s="10"/>
      <c r="D80" s="39"/>
      <c r="E80" s="10"/>
      <c r="F80" s="10"/>
      <c r="G80" s="10"/>
      <c r="H80" s="36"/>
      <c r="I80" s="36"/>
      <c r="J80" s="36"/>
      <c r="K80" s="36"/>
      <c r="L80" s="36"/>
      <c r="M80" s="10"/>
      <c r="N80" s="10"/>
      <c r="O80" s="10"/>
      <c r="Q80" s="10"/>
      <c r="R80" s="10"/>
    </row>
    <row r="81" s="25" customFormat="1" ht="12.75">
      <c r="P81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81"/>
  <sheetViews>
    <sheetView zoomScalePageLayoutView="0" workbookViewId="0" topLeftCell="Q8">
      <pane ySplit="3195" topLeftCell="A1" activePane="topLeft" state="split"/>
      <selection pane="topLeft" activeCell="T8" sqref="T1:AJ16384"/>
      <selection pane="bottomLeft" activeCell="R40" sqref="R40:R41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hidden="1" customWidth="1"/>
    <col min="21" max="21" width="12.875" style="8" hidden="1" customWidth="1"/>
    <col min="22" max="22" width="11.75390625" style="8" hidden="1" customWidth="1"/>
    <col min="23" max="36" width="0" style="8" hidden="1" customWidth="1"/>
    <col min="37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94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96</v>
      </c>
      <c r="J8" s="11" t="s">
        <v>97</v>
      </c>
      <c r="K8" s="11" t="s">
        <v>98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8">H23+I23-J23</f>
        <v>0</v>
      </c>
      <c r="L23" s="47">
        <f aca="true" t="shared" si="1" ref="L23:L38">K23</f>
        <v>0</v>
      </c>
      <c r="M23" s="7"/>
      <c r="N23" s="7"/>
      <c r="O23" s="5"/>
      <c r="P23" s="7"/>
      <c r="Q23" s="6">
        <f aca="true" t="shared" si="2" ref="Q23:Q38">N23+O23-P23</f>
        <v>0</v>
      </c>
      <c r="R23" s="48">
        <f aca="true" t="shared" si="3" ref="R23:R38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>
        <f>120000+120000+120000+120000+120000</f>
        <v>600000</v>
      </c>
      <c r="K25" s="53">
        <f t="shared" si="0"/>
        <v>239000</v>
      </c>
      <c r="L25" s="47">
        <f t="shared" si="1"/>
        <v>239000</v>
      </c>
      <c r="M25" s="7"/>
      <c r="N25" s="7">
        <v>71.06</v>
      </c>
      <c r="O25" s="5">
        <f>63.04+52.2+45.62+35.1+25.56</f>
        <v>221.52</v>
      </c>
      <c r="P25" s="7">
        <f>71.06+63.04+52.2+45.62+35.1</f>
        <v>267.02000000000004</v>
      </c>
      <c r="Q25" s="6">
        <f t="shared" si="2"/>
        <v>25.560000000000002</v>
      </c>
      <c r="R25" s="48">
        <f t="shared" si="3"/>
        <v>239025.56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>
        <f>312000+312000+312000+312000+312000</f>
        <v>1560000</v>
      </c>
      <c r="K26" s="53">
        <f t="shared" si="0"/>
        <v>624000</v>
      </c>
      <c r="L26" s="47">
        <f t="shared" si="1"/>
        <v>624000</v>
      </c>
      <c r="M26" s="7"/>
      <c r="N26" s="7">
        <v>184.98</v>
      </c>
      <c r="O26" s="5">
        <f>164.12+135.92+118.82+91.47+66.67</f>
        <v>576.9999999999999</v>
      </c>
      <c r="P26" s="7">
        <f>184.98+164.12+135.92+118.82+91.47</f>
        <v>695.31</v>
      </c>
      <c r="Q26" s="6">
        <f t="shared" si="2"/>
        <v>66.66999999999996</v>
      </c>
      <c r="R26" s="48">
        <f t="shared" si="3"/>
        <v>624066.6699999999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47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47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7107000</v>
      </c>
      <c r="I29" s="167">
        <f>-(5523000+1584000)</f>
        <v>-7107000</v>
      </c>
      <c r="J29" s="32"/>
      <c r="K29" s="53">
        <f t="shared" si="0"/>
        <v>0</v>
      </c>
      <c r="L29" s="47">
        <f t="shared" si="1"/>
        <v>0</v>
      </c>
      <c r="M29" s="7"/>
      <c r="N29" s="7">
        <v>4471.68</v>
      </c>
      <c r="O29" s="5">
        <f>4483.94</f>
        <v>4483.94</v>
      </c>
      <c r="P29" s="7">
        <f>4471.68+4483.94</f>
        <v>8955.619999999999</v>
      </c>
      <c r="Q29" s="6">
        <f t="shared" si="2"/>
        <v>0</v>
      </c>
      <c r="R29" s="48">
        <f t="shared" si="3"/>
        <v>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65"/>
      <c r="G30" s="166"/>
      <c r="H30" s="167"/>
      <c r="I30" s="167">
        <v>5523000</v>
      </c>
      <c r="J30" s="167"/>
      <c r="K30" s="168">
        <f t="shared" si="0"/>
        <v>5523000</v>
      </c>
      <c r="L30" s="160">
        <f t="shared" si="1"/>
        <v>5523000</v>
      </c>
      <c r="M30" s="169"/>
      <c r="N30" s="169"/>
      <c r="O30" s="170"/>
      <c r="P30" s="169"/>
      <c r="Q30" s="6">
        <f t="shared" si="2"/>
        <v>0</v>
      </c>
      <c r="R30" s="48">
        <f t="shared" si="3"/>
        <v>5523000</v>
      </c>
      <c r="S30" s="171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5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45" t="s">
        <v>47</v>
      </c>
      <c r="G31" s="46" t="s">
        <v>28</v>
      </c>
      <c r="H31" s="32">
        <v>5055000</v>
      </c>
      <c r="I31" s="167">
        <f>-(2723000+2332000)</f>
        <v>-5055000</v>
      </c>
      <c r="J31" s="32"/>
      <c r="K31" s="53">
        <f t="shared" si="0"/>
        <v>0</v>
      </c>
      <c r="L31" s="47">
        <f t="shared" si="1"/>
        <v>0</v>
      </c>
      <c r="M31" s="7"/>
      <c r="N31" s="7">
        <v>6583.31</v>
      </c>
      <c r="O31" s="5">
        <f>6601.35</f>
        <v>6601.35</v>
      </c>
      <c r="P31" s="7">
        <f>6583.31+6601.35</f>
        <v>13184.66</v>
      </c>
      <c r="Q31" s="6">
        <f t="shared" si="2"/>
        <v>0</v>
      </c>
      <c r="R31" s="48">
        <f t="shared" si="3"/>
        <v>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73" customFormat="1" ht="66.75" customHeight="1">
      <c r="A32" s="161"/>
      <c r="B32" s="162"/>
      <c r="C32" s="163" t="s">
        <v>103</v>
      </c>
      <c r="D32" s="163"/>
      <c r="E32" s="164"/>
      <c r="F32" s="165"/>
      <c r="G32" s="166"/>
      <c r="H32" s="167"/>
      <c r="I32" s="167">
        <v>2723000</v>
      </c>
      <c r="J32" s="167"/>
      <c r="K32" s="168">
        <f t="shared" si="0"/>
        <v>2723000</v>
      </c>
      <c r="L32" s="160">
        <f t="shared" si="1"/>
        <v>2723000</v>
      </c>
      <c r="M32" s="169"/>
      <c r="N32" s="169"/>
      <c r="O32" s="170"/>
      <c r="P32" s="169"/>
      <c r="Q32" s="6">
        <f t="shared" si="2"/>
        <v>0</v>
      </c>
      <c r="R32" s="48">
        <f t="shared" si="3"/>
        <v>2723000</v>
      </c>
      <c r="S32" s="171"/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45" t="s">
        <v>51</v>
      </c>
      <c r="G33" s="46" t="s">
        <v>28</v>
      </c>
      <c r="H33" s="32">
        <v>6000000</v>
      </c>
      <c r="I33" s="32">
        <v>-6000000</v>
      </c>
      <c r="J33" s="32"/>
      <c r="K33" s="53">
        <f t="shared" si="0"/>
        <v>0</v>
      </c>
      <c r="L33" s="47">
        <f t="shared" si="1"/>
        <v>0</v>
      </c>
      <c r="M33" s="7"/>
      <c r="N33" s="7">
        <v>16938.2</v>
      </c>
      <c r="O33" s="5">
        <f>16984.6</f>
        <v>16984.6</v>
      </c>
      <c r="P33" s="94">
        <f>16938.2+16984.6</f>
        <v>33922.8</v>
      </c>
      <c r="Q33" s="6">
        <f t="shared" si="2"/>
        <v>0</v>
      </c>
      <c r="R33" s="48">
        <f t="shared" si="3"/>
        <v>0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93" t="s">
        <v>53</v>
      </c>
      <c r="G34" s="133" t="s">
        <v>28</v>
      </c>
      <c r="H34" s="6">
        <v>10000000</v>
      </c>
      <c r="I34" s="6">
        <v>-10000000</v>
      </c>
      <c r="J34" s="6"/>
      <c r="K34" s="47">
        <f t="shared" si="0"/>
        <v>0</v>
      </c>
      <c r="L34" s="47">
        <f t="shared" si="1"/>
        <v>0</v>
      </c>
      <c r="M34" s="7"/>
      <c r="N34" s="7">
        <v>28230.33</v>
      </c>
      <c r="O34" s="134">
        <f>28307.67</f>
        <v>28307.67</v>
      </c>
      <c r="P34" s="135">
        <f>28230.33+28307.67</f>
        <v>56538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45"/>
      <c r="G35" s="133" t="s">
        <v>28</v>
      </c>
      <c r="H35" s="32">
        <v>10000000</v>
      </c>
      <c r="I35" s="44"/>
      <c r="J35" s="32"/>
      <c r="K35" s="47">
        <f t="shared" si="0"/>
        <v>10000000</v>
      </c>
      <c r="L35" s="47">
        <f t="shared" si="1"/>
        <v>10000000</v>
      </c>
      <c r="M35" s="4"/>
      <c r="N35" s="4">
        <v>28230.33</v>
      </c>
      <c r="O35" s="5">
        <f>28307.67+25568.22+28193.97+26712.33+26230.14</f>
        <v>135012.33000000002</v>
      </c>
      <c r="P35" s="94">
        <f>28230.33+28307.67+25568.22+28193.97+26712.33</f>
        <v>137012.52000000002</v>
      </c>
      <c r="Q35" s="6">
        <f t="shared" si="2"/>
        <v>26230.140000000014</v>
      </c>
      <c r="R35" s="48">
        <f t="shared" si="3"/>
        <v>10026230.14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/>
      <c r="G36" s="46" t="s">
        <v>28</v>
      </c>
      <c r="H36" s="32">
        <v>0</v>
      </c>
      <c r="I36" s="44"/>
      <c r="J36" s="32"/>
      <c r="K36" s="53">
        <f t="shared" si="0"/>
        <v>0</v>
      </c>
      <c r="L36" s="53">
        <f t="shared" si="1"/>
        <v>0</v>
      </c>
      <c r="M36" s="4"/>
      <c r="N36" s="4"/>
      <c r="O36" s="5">
        <v>0</v>
      </c>
      <c r="P36" s="94"/>
      <c r="Q36" s="6"/>
      <c r="R36" s="48">
        <f t="shared" si="3"/>
        <v>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45" t="s">
        <v>60</v>
      </c>
      <c r="G37" s="46" t="s">
        <v>28</v>
      </c>
      <c r="H37" s="138">
        <v>6500000</v>
      </c>
      <c r="I37" s="137"/>
      <c r="J37" s="138"/>
      <c r="K37" s="53">
        <f t="shared" si="0"/>
        <v>6500000</v>
      </c>
      <c r="L37" s="53">
        <f t="shared" si="1"/>
        <v>6500000</v>
      </c>
      <c r="M37" s="139"/>
      <c r="N37" s="139">
        <v>18349.71</v>
      </c>
      <c r="O37" s="5">
        <f>18399.99+16619.34+18326.09+17363.01+17049.59</f>
        <v>87758.01999999999</v>
      </c>
      <c r="P37" s="140">
        <f>18349.71+18399.99+16619.34+18326.09+17363.01</f>
        <v>89058.13999999998</v>
      </c>
      <c r="Q37" s="32">
        <f t="shared" si="2"/>
        <v>17049.589999999997</v>
      </c>
      <c r="R37" s="32">
        <f t="shared" si="3"/>
        <v>6517049.59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45" t="s">
        <v>60</v>
      </c>
      <c r="G38" s="46" t="s">
        <v>28</v>
      </c>
      <c r="H38" s="138">
        <v>12400000</v>
      </c>
      <c r="I38" s="137"/>
      <c r="J38" s="138"/>
      <c r="K38" s="153">
        <f t="shared" si="0"/>
        <v>12400000</v>
      </c>
      <c r="L38" s="153">
        <f t="shared" si="1"/>
        <v>12400000</v>
      </c>
      <c r="M38" s="139"/>
      <c r="N38" s="139">
        <v>35005.61</v>
      </c>
      <c r="O38" s="154">
        <f>35101.51+31704.59+35073.32+33010.5+32525.37</f>
        <v>167415.29</v>
      </c>
      <c r="P38" s="140">
        <f>35005.61+35101.51+31704.59+35073.32+33010.5</f>
        <v>169895.53</v>
      </c>
      <c r="Q38" s="32">
        <f t="shared" si="2"/>
        <v>32525.370000000024</v>
      </c>
      <c r="R38" s="32">
        <f t="shared" si="3"/>
        <v>12432525.37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66.75" customHeight="1">
      <c r="A39" s="50"/>
      <c r="B39" s="42" t="s">
        <v>15</v>
      </c>
      <c r="C39" s="52" t="s">
        <v>70</v>
      </c>
      <c r="D39" s="52" t="s">
        <v>34</v>
      </c>
      <c r="E39" s="44">
        <v>24800000</v>
      </c>
      <c r="F39" s="45" t="s">
        <v>71</v>
      </c>
      <c r="G39" s="46" t="s">
        <v>28</v>
      </c>
      <c r="H39" s="138">
        <v>24800000</v>
      </c>
      <c r="I39" s="174">
        <f>-(5756000+7084000)</f>
        <v>-12840000</v>
      </c>
      <c r="J39" s="138"/>
      <c r="K39" s="153">
        <f>H39+I39-J39</f>
        <v>11960000</v>
      </c>
      <c r="L39" s="153">
        <f>K39</f>
        <v>11960000</v>
      </c>
      <c r="M39" s="139"/>
      <c r="N39" s="139">
        <v>70011.21</v>
      </c>
      <c r="O39" s="154">
        <f>70203.02+20027.22+33719.99+31947.95+31371.24</f>
        <v>187269.42</v>
      </c>
      <c r="P39" s="140">
        <f>70011.21+70203.02+20027.22+33719.99+31947.95</f>
        <v>225909.39</v>
      </c>
      <c r="Q39" s="32">
        <f>N39+O39-P39</f>
        <v>31371.23999999999</v>
      </c>
      <c r="R39" s="32">
        <f>K39+N39+O39-P39</f>
        <v>11991371.24</v>
      </c>
      <c r="S39" s="49"/>
      <c r="T39" s="49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66.75" customHeight="1">
      <c r="A40" s="50"/>
      <c r="B40" s="132" t="s">
        <v>15</v>
      </c>
      <c r="C40" s="43" t="s">
        <v>76</v>
      </c>
      <c r="D40" s="43" t="s">
        <v>34</v>
      </c>
      <c r="E40" s="2">
        <v>16000000</v>
      </c>
      <c r="F40" s="93" t="s">
        <v>78</v>
      </c>
      <c r="G40" s="133" t="s">
        <v>28</v>
      </c>
      <c r="H40" s="138">
        <v>16000000</v>
      </c>
      <c r="I40" s="174">
        <v>-4000000</v>
      </c>
      <c r="J40" s="138"/>
      <c r="K40" s="153">
        <f>H40+I40-J40</f>
        <v>12000000</v>
      </c>
      <c r="L40" s="153">
        <f>K40</f>
        <v>12000000</v>
      </c>
      <c r="M40" s="139"/>
      <c r="N40" s="139">
        <v>8742.3</v>
      </c>
      <c r="O40" s="154">
        <f>45292.27+27394.52+33832.77+32054.79+31476.16</f>
        <v>170050.51</v>
      </c>
      <c r="P40" s="140">
        <f>8742.3+45292.27+27394.52+33832.77+32054.79</f>
        <v>147316.65</v>
      </c>
      <c r="Q40" s="32">
        <f>N40+O40-P40</f>
        <v>31476.160000000003</v>
      </c>
      <c r="R40" s="32">
        <f>K40+N40+O40-P40</f>
        <v>12031476.16</v>
      </c>
      <c r="S40" s="49"/>
      <c r="T40" s="49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66.75" customHeight="1">
      <c r="A41" s="180">
        <v>17</v>
      </c>
      <c r="B41" s="162" t="s">
        <v>15</v>
      </c>
      <c r="C41" s="163" t="s">
        <v>105</v>
      </c>
      <c r="D41" s="163" t="s">
        <v>34</v>
      </c>
      <c r="E41" s="164">
        <v>36756000</v>
      </c>
      <c r="F41" s="165" t="s">
        <v>106</v>
      </c>
      <c r="G41" s="46" t="s">
        <v>28</v>
      </c>
      <c r="H41" s="138"/>
      <c r="I41" s="174">
        <v>36756000</v>
      </c>
      <c r="J41" s="138"/>
      <c r="K41" s="153">
        <f>H41+I41-J41</f>
        <v>36756000</v>
      </c>
      <c r="L41" s="153">
        <f>K41</f>
        <v>36756000</v>
      </c>
      <c r="M41" s="139"/>
      <c r="N41" s="139"/>
      <c r="O41" s="154"/>
      <c r="P41" s="140"/>
      <c r="Q41" s="32">
        <f>N41+O41-P41</f>
        <v>0</v>
      </c>
      <c r="R41" s="32">
        <f>K41+N41+O41-P41</f>
        <v>36756000</v>
      </c>
      <c r="S41" s="49"/>
      <c r="T41" s="49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.75" customHeight="1" thickBot="1">
      <c r="A42" s="95" t="s">
        <v>21</v>
      </c>
      <c r="B42" s="18"/>
      <c r="C42" s="18"/>
      <c r="D42" s="96"/>
      <c r="E42" s="97"/>
      <c r="F42" s="98"/>
      <c r="G42" s="98"/>
      <c r="H42" s="136">
        <f>H23+H24+H25+H26+H27+H28+H29+H31+H33+H34+H35+H36+H37+H38+H39+H40+H30+H32+H41</f>
        <v>107985000</v>
      </c>
      <c r="I42" s="136">
        <f aca="true" t="shared" si="4" ref="I42:R42">I23+I24+I25+I26+I27+I28+I29+I31+I33+I34+I35+I36+I37+I38+I39+I40+I30+I32+I41</f>
        <v>0</v>
      </c>
      <c r="J42" s="136">
        <f t="shared" si="4"/>
        <v>2160000</v>
      </c>
      <c r="K42" s="136">
        <f t="shared" si="4"/>
        <v>105825000</v>
      </c>
      <c r="L42" s="136">
        <f t="shared" si="4"/>
        <v>105825000</v>
      </c>
      <c r="M42" s="136">
        <f t="shared" si="4"/>
        <v>0</v>
      </c>
      <c r="N42" s="136">
        <f t="shared" si="4"/>
        <v>216818.72000000003</v>
      </c>
      <c r="O42" s="136">
        <f t="shared" si="4"/>
        <v>804681.65</v>
      </c>
      <c r="P42" s="136">
        <f t="shared" si="4"/>
        <v>882755.64</v>
      </c>
      <c r="Q42" s="136">
        <f t="shared" si="4"/>
        <v>138744.73000000004</v>
      </c>
      <c r="R42" s="136">
        <f t="shared" si="4"/>
        <v>105963744.73</v>
      </c>
      <c r="S42" s="136">
        <f>S23+S24+S25+S26+S27+S28+S29+S31+S33+S34+S35+S36+S37+S38+S39+S40</f>
        <v>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19" ht="16.5" customHeight="1" thickBot="1">
      <c r="A43" s="141" t="s">
        <v>19</v>
      </c>
      <c r="B43" s="142" t="s">
        <v>23</v>
      </c>
      <c r="C43" s="142"/>
      <c r="D43" s="142"/>
      <c r="E43" s="142"/>
      <c r="F43" s="142"/>
      <c r="G43" s="20"/>
      <c r="H43" s="10"/>
      <c r="I43" s="10"/>
      <c r="J43" s="10"/>
      <c r="K43" s="10"/>
      <c r="L43" s="99"/>
      <c r="M43" s="10"/>
      <c r="N43" s="10"/>
      <c r="O43" s="10"/>
      <c r="P43" s="146"/>
      <c r="Q43" s="10"/>
      <c r="R43" s="147"/>
      <c r="S43" s="25"/>
    </row>
    <row r="44" spans="1:19" ht="69" customHeight="1">
      <c r="A44" s="144">
        <v>1</v>
      </c>
      <c r="B44" s="42" t="s">
        <v>23</v>
      </c>
      <c r="C44" s="145" t="s">
        <v>57</v>
      </c>
      <c r="D44" s="132" t="s">
        <v>58</v>
      </c>
      <c r="E44" s="17">
        <v>9000000</v>
      </c>
      <c r="F44" s="132" t="s">
        <v>63</v>
      </c>
      <c r="G44" s="133" t="s">
        <v>28</v>
      </c>
      <c r="H44" s="7">
        <v>9000000</v>
      </c>
      <c r="I44" s="159"/>
      <c r="J44" s="7">
        <v>9000000</v>
      </c>
      <c r="K44" s="6">
        <f>H44+I44-J44</f>
        <v>0</v>
      </c>
      <c r="L44" s="6">
        <f>K44</f>
        <v>0</v>
      </c>
      <c r="M44" s="3"/>
      <c r="N44" s="3">
        <v>0</v>
      </c>
      <c r="O44" s="3">
        <f>133767.12+120821.92-4315.07</f>
        <v>250273.96999999997</v>
      </c>
      <c r="P44" s="17">
        <f>133767.12+120821.92-4315.07</f>
        <v>250273.96999999997</v>
      </c>
      <c r="Q44" s="6">
        <f>N44+O44-P44</f>
        <v>0</v>
      </c>
      <c r="R44" s="6">
        <f>K44+N44+O44-P44</f>
        <v>0</v>
      </c>
      <c r="S44" s="25"/>
    </row>
    <row r="45" spans="1:19" ht="69" customHeight="1">
      <c r="A45" s="152">
        <v>2</v>
      </c>
      <c r="B45" s="42" t="s">
        <v>23</v>
      </c>
      <c r="C45" s="145" t="s">
        <v>61</v>
      </c>
      <c r="D45" s="132" t="s">
        <v>58</v>
      </c>
      <c r="E45" s="17">
        <v>5000000</v>
      </c>
      <c r="F45" s="132" t="s">
        <v>62</v>
      </c>
      <c r="G45" s="133" t="s">
        <v>28</v>
      </c>
      <c r="H45" s="7"/>
      <c r="I45" s="159"/>
      <c r="J45" s="7"/>
      <c r="K45" s="6">
        <f>H45+I45-J45</f>
        <v>0</v>
      </c>
      <c r="L45" s="6">
        <f>K45</f>
        <v>0</v>
      </c>
      <c r="M45" s="3"/>
      <c r="N45" s="3">
        <v>0</v>
      </c>
      <c r="O45" s="17"/>
      <c r="P45" s="17"/>
      <c r="Q45" s="6">
        <f>N45+O45-P45</f>
        <v>0</v>
      </c>
      <c r="R45" s="6">
        <f>K45+N45+O45-P45</f>
        <v>0</v>
      </c>
      <c r="S45" s="25"/>
    </row>
    <row r="46" spans="1:19" ht="69" customHeight="1">
      <c r="A46" s="152">
        <v>3</v>
      </c>
      <c r="B46" s="42" t="s">
        <v>23</v>
      </c>
      <c r="C46" s="145" t="s">
        <v>68</v>
      </c>
      <c r="D46" s="132" t="s">
        <v>58</v>
      </c>
      <c r="E46" s="17"/>
      <c r="F46" s="132" t="s">
        <v>80</v>
      </c>
      <c r="G46" s="133" t="s">
        <v>28</v>
      </c>
      <c r="H46" s="159">
        <v>10000000</v>
      </c>
      <c r="I46" s="159"/>
      <c r="J46" s="159">
        <v>10000000</v>
      </c>
      <c r="K46" s="6">
        <f>H46+I46-J46</f>
        <v>0</v>
      </c>
      <c r="L46" s="6">
        <f>K46</f>
        <v>0</v>
      </c>
      <c r="M46" s="3"/>
      <c r="N46" s="3">
        <v>0</v>
      </c>
      <c r="O46" s="3">
        <f>148630.14+134246.58</f>
        <v>282876.72</v>
      </c>
      <c r="P46" s="17">
        <f>148630.14+134246.58</f>
        <v>282876.72</v>
      </c>
      <c r="Q46" s="6">
        <f>N46+O46-P46</f>
        <v>0</v>
      </c>
      <c r="R46" s="6">
        <f>K46+N46+O46-P46</f>
        <v>0</v>
      </c>
      <c r="S46" s="25"/>
    </row>
    <row r="47" spans="1:19" ht="69" customHeight="1">
      <c r="A47" s="152">
        <v>4</v>
      </c>
      <c r="B47" s="42" t="s">
        <v>23</v>
      </c>
      <c r="C47" s="145" t="s">
        <v>77</v>
      </c>
      <c r="D47" s="132" t="s">
        <v>58</v>
      </c>
      <c r="E47" s="17"/>
      <c r="F47" s="158">
        <v>43439</v>
      </c>
      <c r="G47" s="133"/>
      <c r="H47" s="159">
        <v>8000000</v>
      </c>
      <c r="I47" s="159"/>
      <c r="J47" s="159">
        <v>8000000</v>
      </c>
      <c r="K47" s="6">
        <f>H47+I47-J47</f>
        <v>0</v>
      </c>
      <c r="L47" s="6">
        <f>K47</f>
        <v>0</v>
      </c>
      <c r="M47" s="3"/>
      <c r="N47" s="3"/>
      <c r="O47" s="3">
        <f>105315.07+95123.29</f>
        <v>200438.36</v>
      </c>
      <c r="P47" s="17">
        <f>105315.07+95123.29</f>
        <v>200438.36</v>
      </c>
      <c r="Q47" s="6">
        <f>N47+O47-P47</f>
        <v>0</v>
      </c>
      <c r="R47" s="6">
        <f>K47+N47+O47-P47</f>
        <v>0</v>
      </c>
      <c r="S47" s="25"/>
    </row>
    <row r="48" spans="1:19" ht="16.5" customHeight="1" thickBot="1">
      <c r="A48" s="95" t="s">
        <v>21</v>
      </c>
      <c r="B48" s="143"/>
      <c r="C48" s="143"/>
      <c r="D48" s="14"/>
      <c r="E48" s="14"/>
      <c r="F48" s="14"/>
      <c r="G48" s="14"/>
      <c r="H48" s="4">
        <f>H44+H45+H46+H47</f>
        <v>27000000</v>
      </c>
      <c r="I48" s="4">
        <f aca="true" t="shared" si="5" ref="I48:R48">I44+I45+I46+I47</f>
        <v>0</v>
      </c>
      <c r="J48" s="4">
        <f t="shared" si="5"/>
        <v>27000000</v>
      </c>
      <c r="K48" s="1">
        <f t="shared" si="5"/>
        <v>0</v>
      </c>
      <c r="L48" s="1">
        <f t="shared" si="5"/>
        <v>0</v>
      </c>
      <c r="M48" s="1">
        <f t="shared" si="5"/>
        <v>0</v>
      </c>
      <c r="N48" s="1">
        <f t="shared" si="5"/>
        <v>0</v>
      </c>
      <c r="O48" s="1">
        <f t="shared" si="5"/>
        <v>733589.0499999999</v>
      </c>
      <c r="P48" s="1">
        <f t="shared" si="5"/>
        <v>733589.0499999999</v>
      </c>
      <c r="Q48" s="1">
        <f t="shared" si="5"/>
        <v>0</v>
      </c>
      <c r="R48" s="1">
        <f t="shared" si="5"/>
        <v>0</v>
      </c>
      <c r="S48" s="1">
        <f>S44+S45+S46</f>
        <v>0</v>
      </c>
    </row>
    <row r="49" spans="1:35" s="83" customFormat="1" ht="18" customHeight="1" thickBot="1">
      <c r="A49" s="101" t="s">
        <v>5</v>
      </c>
      <c r="B49" s="102" t="s">
        <v>22</v>
      </c>
      <c r="C49" s="102"/>
      <c r="D49" s="148"/>
      <c r="E49" s="148"/>
      <c r="F49" s="148"/>
      <c r="G49" s="148"/>
      <c r="H49" s="148"/>
      <c r="I49" s="143"/>
      <c r="J49" s="143"/>
      <c r="K49" s="143"/>
      <c r="L49" s="143"/>
      <c r="M49" s="143"/>
      <c r="N49" s="143"/>
      <c r="O49" s="143"/>
      <c r="P49" s="151"/>
      <c r="Q49" s="143"/>
      <c r="R49" s="149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s="83" customFormat="1" ht="69.75" customHeight="1" hidden="1">
      <c r="A50" s="101"/>
      <c r="B50" s="103"/>
      <c r="C50" s="104"/>
      <c r="D50" s="104"/>
      <c r="E50" s="105"/>
      <c r="F50" s="104"/>
      <c r="G50" s="46"/>
      <c r="H50" s="62"/>
      <c r="I50" s="62"/>
      <c r="J50" s="33"/>
      <c r="K50" s="62"/>
      <c r="L50" s="32"/>
      <c r="M50" s="21"/>
      <c r="N50" s="21"/>
      <c r="O50" s="21"/>
      <c r="P50" s="150"/>
      <c r="Q50" s="62"/>
      <c r="R50" s="62"/>
      <c r="S50" s="82"/>
      <c r="T50" s="106"/>
      <c r="U50" s="106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s="83" customFormat="1" ht="18" customHeight="1" thickBot="1">
      <c r="A51" s="107" t="s">
        <v>21</v>
      </c>
      <c r="B51" s="108"/>
      <c r="C51" s="109"/>
      <c r="D51" s="109"/>
      <c r="E51" s="110"/>
      <c r="F51" s="111"/>
      <c r="G51" s="104"/>
      <c r="H51" s="34">
        <f>H50</f>
        <v>0</v>
      </c>
      <c r="I51" s="34">
        <f>I50</f>
        <v>0</v>
      </c>
      <c r="J51" s="34">
        <f>J50</f>
        <v>0</v>
      </c>
      <c r="K51" s="34">
        <f>K50</f>
        <v>0</v>
      </c>
      <c r="L51" s="34">
        <f>L50</f>
        <v>0</v>
      </c>
      <c r="M51" s="22">
        <v>3</v>
      </c>
      <c r="N51" s="22">
        <v>0</v>
      </c>
      <c r="O51" s="22">
        <v>0</v>
      </c>
      <c r="P51" s="22">
        <v>0</v>
      </c>
      <c r="Q51" s="34">
        <f>K51</f>
        <v>0</v>
      </c>
      <c r="R51" s="34">
        <f>Q51</f>
        <v>0</v>
      </c>
      <c r="S51" s="82"/>
      <c r="T51" s="11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20" ht="16.5" customHeight="1" thickBot="1">
      <c r="A52" s="113"/>
      <c r="B52" s="20" t="s">
        <v>16</v>
      </c>
      <c r="C52" s="19"/>
      <c r="D52" s="19"/>
      <c r="E52" s="19"/>
      <c r="F52" s="100"/>
      <c r="G52" s="114"/>
      <c r="H52" s="23">
        <f>H42+H50+H48</f>
        <v>134985000</v>
      </c>
      <c r="I52" s="23">
        <f aca="true" t="shared" si="6" ref="I52:R52">I42+I50+I48</f>
        <v>0</v>
      </c>
      <c r="J52" s="23">
        <f t="shared" si="6"/>
        <v>29160000</v>
      </c>
      <c r="K52" s="23">
        <f>K42+K50+K48</f>
        <v>105825000</v>
      </c>
      <c r="L52" s="23">
        <f t="shared" si="6"/>
        <v>105825000</v>
      </c>
      <c r="M52" s="23">
        <f t="shared" si="6"/>
        <v>0</v>
      </c>
      <c r="N52" s="23">
        <f t="shared" si="6"/>
        <v>216818.72000000003</v>
      </c>
      <c r="O52" s="23">
        <f t="shared" si="6"/>
        <v>1538270.7</v>
      </c>
      <c r="P52" s="23">
        <f t="shared" si="6"/>
        <v>1616344.69</v>
      </c>
      <c r="Q52" s="23">
        <f t="shared" si="6"/>
        <v>138744.73000000004</v>
      </c>
      <c r="R52" s="23">
        <f t="shared" si="6"/>
        <v>105963744.73</v>
      </c>
      <c r="S52" s="25"/>
      <c r="T52" s="115"/>
    </row>
    <row r="53" spans="1:19" ht="16.5" customHeight="1">
      <c r="A53" s="25"/>
      <c r="B53" s="82"/>
      <c r="C53" s="10"/>
      <c r="D53" s="10"/>
      <c r="E53" s="10"/>
      <c r="F53" s="10"/>
      <c r="G53" s="10"/>
      <c r="H53" s="24"/>
      <c r="I53" s="24"/>
      <c r="J53" s="24"/>
      <c r="K53" s="24"/>
      <c r="L53" s="24"/>
      <c r="M53" s="40"/>
      <c r="N53" s="24"/>
      <c r="O53" s="24"/>
      <c r="P53" s="24"/>
      <c r="Q53" s="24"/>
      <c r="R53" s="24"/>
      <c r="S53" s="25"/>
    </row>
    <row r="54" spans="1:19" ht="16.5" customHeight="1">
      <c r="A54" s="25"/>
      <c r="B54" s="10" t="s">
        <v>36</v>
      </c>
      <c r="C54" s="10"/>
      <c r="D54" s="10"/>
      <c r="E54" s="10"/>
      <c r="F54" s="10"/>
      <c r="G54" s="10"/>
      <c r="H54" s="24" t="s">
        <v>45</v>
      </c>
      <c r="I54" s="24"/>
      <c r="J54" s="24"/>
      <c r="K54" s="24"/>
      <c r="L54" s="24"/>
      <c r="M54" s="40"/>
      <c r="N54" s="24"/>
      <c r="O54" s="24"/>
      <c r="P54" s="40"/>
      <c r="Q54" s="24"/>
      <c r="R54" s="24"/>
      <c r="S54" s="25"/>
    </row>
    <row r="55" spans="1:19" ht="16.5" customHeight="1">
      <c r="A55" s="2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4"/>
      <c r="Q55" s="10"/>
      <c r="R55" s="10"/>
      <c r="S55" s="25"/>
    </row>
    <row r="56" spans="1:19" ht="15.75" customHeight="1">
      <c r="A56" s="25"/>
      <c r="B56" s="10" t="s">
        <v>27</v>
      </c>
      <c r="C56" s="10"/>
      <c r="D56" s="116"/>
      <c r="E56" s="117"/>
      <c r="F56" s="117"/>
      <c r="G56" s="117"/>
      <c r="H56" s="35" t="s">
        <v>67</v>
      </c>
      <c r="I56" s="35"/>
      <c r="J56" s="35"/>
      <c r="K56" s="35"/>
      <c r="L56" s="35"/>
      <c r="M56" s="10"/>
      <c r="N56" s="10"/>
      <c r="O56" s="10"/>
      <c r="P56" s="10"/>
      <c r="Q56" s="10"/>
      <c r="R56" s="10"/>
      <c r="S56" s="25"/>
    </row>
    <row r="57" spans="1:19" ht="15.75" customHeight="1">
      <c r="A57" s="25"/>
      <c r="B57" s="10" t="s">
        <v>26</v>
      </c>
      <c r="C57" s="10"/>
      <c r="D57" s="116"/>
      <c r="E57" s="117"/>
      <c r="F57" s="117"/>
      <c r="G57" s="117"/>
      <c r="H57" s="35"/>
      <c r="I57" s="35"/>
      <c r="J57" s="35"/>
      <c r="K57" s="118"/>
      <c r="L57" s="118"/>
      <c r="M57" s="10"/>
      <c r="N57" s="10"/>
      <c r="O57" s="10"/>
      <c r="P57" s="10"/>
      <c r="Q57" s="10"/>
      <c r="R57" s="10"/>
      <c r="S57" s="25"/>
    </row>
    <row r="58" spans="1:19" ht="12.75">
      <c r="A58" s="25"/>
      <c r="B58" s="10"/>
      <c r="C58" s="10"/>
      <c r="D58" s="39"/>
      <c r="E58" s="10"/>
      <c r="F58" s="10"/>
      <c r="G58" s="10"/>
      <c r="H58" s="36"/>
      <c r="I58" s="36"/>
      <c r="J58" s="36"/>
      <c r="K58" s="36"/>
      <c r="L58" s="36"/>
      <c r="M58" s="10"/>
      <c r="N58" s="10"/>
      <c r="O58" s="10"/>
      <c r="P58" s="10"/>
      <c r="Q58" s="10"/>
      <c r="R58" s="10"/>
      <c r="S58" s="25"/>
    </row>
    <row r="59" spans="1:19" ht="0.75" customHeight="1">
      <c r="A59" s="25"/>
      <c r="B59" s="10"/>
      <c r="C59" s="10"/>
      <c r="D59" s="39"/>
      <c r="E59" s="10"/>
      <c r="F59" s="10"/>
      <c r="G59" s="10"/>
      <c r="H59" s="119"/>
      <c r="I59" s="36"/>
      <c r="J59" s="36"/>
      <c r="K59" s="36"/>
      <c r="L59" s="36"/>
      <c r="M59" s="10"/>
      <c r="N59" s="10"/>
      <c r="O59" s="10"/>
      <c r="P59" s="10"/>
      <c r="Q59" s="10"/>
      <c r="R59" s="10"/>
      <c r="S59" s="25"/>
    </row>
    <row r="60" spans="1:19" ht="14.25" customHeight="1" hidden="1">
      <c r="A60" s="25"/>
      <c r="B60" s="10"/>
      <c r="C60" s="10"/>
      <c r="D60" s="39"/>
      <c r="E60" s="10"/>
      <c r="F60" s="10"/>
      <c r="G60" s="10"/>
      <c r="H60" s="36"/>
      <c r="I60" s="36"/>
      <c r="J60" s="36"/>
      <c r="K60" s="36"/>
      <c r="L60" s="36"/>
      <c r="M60" s="10"/>
      <c r="N60" s="10"/>
      <c r="O60" s="10"/>
      <c r="P60" s="10"/>
      <c r="Q60" s="10"/>
      <c r="R60" s="10"/>
      <c r="S60" s="25"/>
    </row>
    <row r="61" spans="1:19" ht="13.5" customHeight="1" hidden="1">
      <c r="A61" s="25"/>
      <c r="B61" s="10"/>
      <c r="C61" s="10"/>
      <c r="D61" s="10"/>
      <c r="E61" s="10"/>
      <c r="F61" s="10"/>
      <c r="G61" s="10"/>
      <c r="H61" s="37"/>
      <c r="I61" s="37"/>
      <c r="J61" s="37"/>
      <c r="K61" s="37"/>
      <c r="L61" s="37"/>
      <c r="M61" s="10"/>
      <c r="N61" s="10"/>
      <c r="O61" s="10"/>
      <c r="P61" s="10"/>
      <c r="Q61" s="10"/>
      <c r="R61" s="10"/>
      <c r="S61" s="25"/>
    </row>
    <row r="62" spans="2:18" s="25" customFormat="1" ht="12.75" customHeight="1">
      <c r="B62" s="10" t="s">
        <v>14</v>
      </c>
      <c r="C62" s="39"/>
      <c r="D62" s="120"/>
      <c r="E62" s="121"/>
      <c r="F62" s="10"/>
      <c r="G62" s="10"/>
      <c r="H62" s="37"/>
      <c r="I62" s="37"/>
      <c r="J62" s="37"/>
      <c r="K62" s="37"/>
      <c r="L62" s="37"/>
      <c r="M62" s="10"/>
      <c r="N62" s="10"/>
      <c r="O62" s="10"/>
      <c r="P62" s="10"/>
      <c r="Q62" s="10"/>
      <c r="R62" s="10"/>
    </row>
    <row r="63" spans="1:18" s="25" customFormat="1" ht="9.75" customHeight="1">
      <c r="A63" s="122"/>
      <c r="B63" s="123" t="s">
        <v>20</v>
      </c>
      <c r="C63" s="10"/>
      <c r="D63" s="10"/>
      <c r="E63" s="124"/>
      <c r="F63" s="124"/>
      <c r="G63" s="125"/>
      <c r="H63" s="38"/>
      <c r="I63" s="38"/>
      <c r="J63" s="38"/>
      <c r="K63" s="38"/>
      <c r="L63" s="38"/>
      <c r="M63" s="10"/>
      <c r="N63" s="10"/>
      <c r="O63" s="10"/>
      <c r="P63" s="10"/>
      <c r="Q63" s="10"/>
      <c r="R63" s="10"/>
    </row>
    <row r="64" spans="2:18" s="25" customFormat="1" ht="12.75">
      <c r="B64" s="39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126"/>
      <c r="G68" s="126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1:18" s="25" customFormat="1" ht="18.75">
      <c r="A69" s="122"/>
      <c r="B69" s="122"/>
      <c r="C69" s="127"/>
      <c r="D69" s="127"/>
      <c r="E69" s="127"/>
      <c r="F69" s="127"/>
      <c r="G69" s="127"/>
      <c r="H69" s="39"/>
      <c r="I69" s="39"/>
      <c r="J69" s="39"/>
      <c r="K69" s="39"/>
      <c r="L69" s="39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38"/>
      <c r="F70" s="38"/>
      <c r="G70" s="38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38"/>
      <c r="F71" s="38"/>
      <c r="G71" s="38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38"/>
      <c r="F72" s="38"/>
      <c r="G72" s="38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1:18" s="25" customFormat="1" ht="18.75">
      <c r="A73" s="128"/>
      <c r="B73" s="10"/>
      <c r="C73" s="10"/>
      <c r="D73" s="10"/>
      <c r="E73" s="125"/>
      <c r="F73" s="125"/>
      <c r="G73" s="125"/>
      <c r="H73" s="38"/>
      <c r="I73" s="38"/>
      <c r="J73" s="38"/>
      <c r="K73" s="38"/>
      <c r="L73" s="38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117"/>
      <c r="F74" s="129"/>
      <c r="G74" s="129"/>
      <c r="H74" s="35"/>
      <c r="I74" s="35"/>
      <c r="J74" s="35"/>
      <c r="K74" s="35"/>
      <c r="L74" s="35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16"/>
      <c r="E75" s="117"/>
      <c r="F75" s="129"/>
      <c r="G75" s="129"/>
      <c r="H75" s="35"/>
      <c r="I75" s="35"/>
      <c r="J75" s="35"/>
      <c r="K75" s="35"/>
      <c r="L75" s="35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29"/>
      <c r="G76" s="129"/>
      <c r="H76" s="35"/>
      <c r="I76" s="35"/>
      <c r="J76" s="35"/>
      <c r="K76" s="35"/>
      <c r="L76" s="35"/>
      <c r="M76" s="10"/>
      <c r="N76" s="10"/>
      <c r="O76" s="10"/>
      <c r="P76" s="10"/>
      <c r="Q76" s="10"/>
      <c r="R76" s="10"/>
    </row>
    <row r="77" spans="1:18" s="25" customFormat="1" ht="18.75">
      <c r="A77" s="122"/>
      <c r="B77" s="122"/>
      <c r="C77" s="122"/>
      <c r="D77" s="122"/>
      <c r="E77" s="122"/>
      <c r="F77" s="122"/>
      <c r="G77" s="130"/>
      <c r="H77" s="131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 s="25" customFormat="1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 s="25" customFormat="1" ht="12.75">
      <c r="B79" s="10"/>
      <c r="C79" s="10"/>
      <c r="D79" s="116"/>
      <c r="E79" s="117"/>
      <c r="F79" s="117"/>
      <c r="G79" s="117"/>
      <c r="H79" s="35"/>
      <c r="I79" s="35"/>
      <c r="J79" s="35"/>
      <c r="K79" s="118"/>
      <c r="L79" s="118"/>
      <c r="M79" s="10"/>
      <c r="N79" s="10"/>
      <c r="O79" s="10"/>
      <c r="P79" s="10"/>
      <c r="Q79" s="10"/>
      <c r="R79" s="10"/>
    </row>
    <row r="80" spans="2:18" s="25" customFormat="1" ht="12.75">
      <c r="B80" s="10"/>
      <c r="C80" s="10"/>
      <c r="D80" s="39"/>
      <c r="E80" s="10"/>
      <c r="F80" s="10"/>
      <c r="G80" s="10"/>
      <c r="H80" s="36"/>
      <c r="I80" s="36"/>
      <c r="J80" s="36"/>
      <c r="K80" s="36"/>
      <c r="L80" s="36"/>
      <c r="M80" s="10"/>
      <c r="N80" s="10"/>
      <c r="O80" s="10"/>
      <c r="Q80" s="10"/>
      <c r="R80" s="10"/>
    </row>
    <row r="81" s="25" customFormat="1" ht="12.75">
      <c r="P81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82"/>
  <sheetViews>
    <sheetView zoomScalePageLayoutView="0" workbookViewId="0" topLeftCell="A34">
      <pane ySplit="3195" topLeftCell="A40" activePane="bottomLeft" state="split"/>
      <selection pane="topLeft" activeCell="AI8" sqref="AI1:AV16384"/>
      <selection pane="bottomLeft" activeCell="F31" sqref="F31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hidden="1" customWidth="1"/>
    <col min="21" max="21" width="12.875" style="8" hidden="1" customWidth="1"/>
    <col min="22" max="22" width="11.75390625" style="8" hidden="1" customWidth="1"/>
    <col min="23" max="48" width="0" style="8" hidden="1" customWidth="1"/>
    <col min="49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99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100</v>
      </c>
      <c r="J8" s="11" t="s">
        <v>101</v>
      </c>
      <c r="K8" s="11" t="s">
        <v>102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8">H23+I23-J23</f>
        <v>0</v>
      </c>
      <c r="L23" s="47">
        <f aca="true" t="shared" si="1" ref="L23:L38">K23</f>
        <v>0</v>
      </c>
      <c r="M23" s="7"/>
      <c r="N23" s="7"/>
      <c r="O23" s="5"/>
      <c r="P23" s="7"/>
      <c r="Q23" s="6">
        <f aca="true" t="shared" si="2" ref="Q23:Q38">N23+O23-P23</f>
        <v>0</v>
      </c>
      <c r="R23" s="48">
        <f aca="true" t="shared" si="3" ref="R23:R38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56" t="s">
        <v>65</v>
      </c>
      <c r="G25" s="46" t="s">
        <v>28</v>
      </c>
      <c r="H25" s="32">
        <v>839000</v>
      </c>
      <c r="I25" s="32"/>
      <c r="J25" s="32">
        <f>120000+120000+120000+120000+120000+120000</f>
        <v>720000</v>
      </c>
      <c r="K25" s="53">
        <f t="shared" si="0"/>
        <v>119000</v>
      </c>
      <c r="L25" s="47">
        <f t="shared" si="1"/>
        <v>119000</v>
      </c>
      <c r="M25" s="7"/>
      <c r="N25" s="7">
        <v>71.06</v>
      </c>
      <c r="O25" s="181">
        <f>63.04+52.2+45.62+35.1+25.56+14.71</f>
        <v>236.23000000000002</v>
      </c>
      <c r="P25" s="7">
        <f>71.06+63.04+52.2+45.62+35.1+25.56</f>
        <v>292.58000000000004</v>
      </c>
      <c r="Q25" s="6">
        <f t="shared" si="2"/>
        <v>14.70999999999998</v>
      </c>
      <c r="R25" s="48">
        <f t="shared" si="3"/>
        <v>119014.70999999999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56" t="s">
        <v>65</v>
      </c>
      <c r="G26" s="46" t="s">
        <v>28</v>
      </c>
      <c r="H26" s="32">
        <v>2184000</v>
      </c>
      <c r="I26" s="32"/>
      <c r="J26" s="32">
        <f>312000+312000+312000+312000+312000+312000</f>
        <v>1872000</v>
      </c>
      <c r="K26" s="53">
        <f t="shared" si="0"/>
        <v>312000</v>
      </c>
      <c r="L26" s="47">
        <f t="shared" si="1"/>
        <v>312000</v>
      </c>
      <c r="M26" s="7"/>
      <c r="N26" s="7">
        <v>184.98</v>
      </c>
      <c r="O26" s="181">
        <f>164.12+135.92+118.82+91.47+66.67+38.46</f>
        <v>615.4599999999999</v>
      </c>
      <c r="P26" s="7">
        <f>184.98+164.12+135.92+118.82+91.47+66.67</f>
        <v>761.9799999999999</v>
      </c>
      <c r="Q26" s="6">
        <f t="shared" si="2"/>
        <v>38.460000000000036</v>
      </c>
      <c r="R26" s="48">
        <f t="shared" si="3"/>
        <v>312038.46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45" t="s">
        <v>42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160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45" t="s">
        <v>44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160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45" t="s">
        <v>47</v>
      </c>
      <c r="G29" s="46" t="s">
        <v>28</v>
      </c>
      <c r="H29" s="32">
        <v>7107000</v>
      </c>
      <c r="I29" s="167">
        <f>-(5523000+1584000)</f>
        <v>-7107000</v>
      </c>
      <c r="J29" s="32"/>
      <c r="K29" s="53">
        <f t="shared" si="0"/>
        <v>0</v>
      </c>
      <c r="L29" s="160">
        <f t="shared" si="1"/>
        <v>0</v>
      </c>
      <c r="M29" s="7"/>
      <c r="N29" s="7">
        <v>4471.68</v>
      </c>
      <c r="O29" s="5">
        <f>4483.94</f>
        <v>4483.94</v>
      </c>
      <c r="P29" s="7">
        <f>4471.68+4483.94</f>
        <v>8955.619999999999</v>
      </c>
      <c r="Q29" s="6">
        <f t="shared" si="2"/>
        <v>0</v>
      </c>
      <c r="R29" s="48">
        <f t="shared" si="3"/>
        <v>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65"/>
      <c r="G30" s="166"/>
      <c r="H30" s="167"/>
      <c r="I30" s="167">
        <v>5523000</v>
      </c>
      <c r="J30" s="167"/>
      <c r="K30" s="168">
        <f t="shared" si="0"/>
        <v>5523000</v>
      </c>
      <c r="L30" s="160">
        <f t="shared" si="1"/>
        <v>5523000</v>
      </c>
      <c r="M30" s="169"/>
      <c r="N30" s="169"/>
      <c r="O30" s="170"/>
      <c r="P30" s="169"/>
      <c r="Q30" s="6">
        <f t="shared" si="2"/>
        <v>0</v>
      </c>
      <c r="R30" s="48">
        <f t="shared" si="3"/>
        <v>5523000</v>
      </c>
      <c r="S30" s="171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5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45" t="s">
        <v>47</v>
      </c>
      <c r="G31" s="46" t="s">
        <v>28</v>
      </c>
      <c r="H31" s="32">
        <v>5055000</v>
      </c>
      <c r="I31" s="167">
        <f>-(2723000+2332000)</f>
        <v>-5055000</v>
      </c>
      <c r="J31" s="32"/>
      <c r="K31" s="53">
        <f t="shared" si="0"/>
        <v>0</v>
      </c>
      <c r="L31" s="160">
        <f t="shared" si="1"/>
        <v>0</v>
      </c>
      <c r="M31" s="7"/>
      <c r="N31" s="7">
        <v>6583.31</v>
      </c>
      <c r="O31" s="5">
        <f>6601.35</f>
        <v>6601.35</v>
      </c>
      <c r="P31" s="7">
        <f>6583.31+6601.35</f>
        <v>13184.66</v>
      </c>
      <c r="Q31" s="6">
        <f t="shared" si="2"/>
        <v>0</v>
      </c>
      <c r="R31" s="48">
        <f t="shared" si="3"/>
        <v>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73" customFormat="1" ht="66.75" customHeight="1">
      <c r="A32" s="161"/>
      <c r="B32" s="162"/>
      <c r="C32" s="163" t="s">
        <v>103</v>
      </c>
      <c r="D32" s="163"/>
      <c r="E32" s="164"/>
      <c r="F32" s="165"/>
      <c r="G32" s="166"/>
      <c r="H32" s="167"/>
      <c r="I32" s="167">
        <v>2723000</v>
      </c>
      <c r="J32" s="167"/>
      <c r="K32" s="168">
        <f t="shared" si="0"/>
        <v>2723000</v>
      </c>
      <c r="L32" s="160">
        <f t="shared" si="1"/>
        <v>2723000</v>
      </c>
      <c r="M32" s="169"/>
      <c r="N32" s="169"/>
      <c r="O32" s="170"/>
      <c r="P32" s="169"/>
      <c r="Q32" s="6">
        <f t="shared" si="2"/>
        <v>0</v>
      </c>
      <c r="R32" s="48">
        <f t="shared" si="3"/>
        <v>2723000</v>
      </c>
      <c r="S32" s="171"/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45" t="s">
        <v>51</v>
      </c>
      <c r="G33" s="46" t="s">
        <v>28</v>
      </c>
      <c r="H33" s="32">
        <v>6000000</v>
      </c>
      <c r="I33" s="32">
        <v>-6000000</v>
      </c>
      <c r="J33" s="32"/>
      <c r="K33" s="53">
        <f t="shared" si="0"/>
        <v>0</v>
      </c>
      <c r="L33" s="160">
        <f t="shared" si="1"/>
        <v>0</v>
      </c>
      <c r="M33" s="7"/>
      <c r="N33" s="7">
        <v>16938.2</v>
      </c>
      <c r="O33" s="5">
        <f>16984.6</f>
        <v>16984.6</v>
      </c>
      <c r="P33" s="94">
        <f>16938.2+16984.6</f>
        <v>33922.8</v>
      </c>
      <c r="Q33" s="6">
        <f t="shared" si="2"/>
        <v>0</v>
      </c>
      <c r="R33" s="48">
        <f t="shared" si="3"/>
        <v>0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93" t="s">
        <v>53</v>
      </c>
      <c r="G34" s="133" t="s">
        <v>28</v>
      </c>
      <c r="H34" s="6">
        <v>10000000</v>
      </c>
      <c r="I34" s="6">
        <v>-10000000</v>
      </c>
      <c r="J34" s="6"/>
      <c r="K34" s="47">
        <f t="shared" si="0"/>
        <v>0</v>
      </c>
      <c r="L34" s="160">
        <f t="shared" si="1"/>
        <v>0</v>
      </c>
      <c r="M34" s="7"/>
      <c r="N34" s="7">
        <v>28230.33</v>
      </c>
      <c r="O34" s="134">
        <f>28307.67</f>
        <v>28307.67</v>
      </c>
      <c r="P34" s="135">
        <f>28230.33+28307.67</f>
        <v>56538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45"/>
      <c r="G35" s="133" t="s">
        <v>28</v>
      </c>
      <c r="H35" s="32">
        <v>10000000</v>
      </c>
      <c r="I35" s="44"/>
      <c r="J35" s="32"/>
      <c r="K35" s="47">
        <f t="shared" si="0"/>
        <v>10000000</v>
      </c>
      <c r="L35" s="47">
        <f t="shared" si="1"/>
        <v>10000000</v>
      </c>
      <c r="M35" s="4"/>
      <c r="N35" s="4">
        <v>28230.33</v>
      </c>
      <c r="O35" s="181">
        <f>28307.67+25568.22+28193.97+26712.33+26230.14+8699.18</f>
        <v>143711.51</v>
      </c>
      <c r="P35" s="94">
        <f>28230.33+28307.67+25568.22+28193.97+26712.33+26230.14</f>
        <v>163242.66000000003</v>
      </c>
      <c r="Q35" s="6">
        <f t="shared" si="2"/>
        <v>8699.179999999993</v>
      </c>
      <c r="R35" s="48">
        <f t="shared" si="3"/>
        <v>10008699.18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/>
      <c r="G36" s="46" t="s">
        <v>28</v>
      </c>
      <c r="H36" s="32">
        <v>0</v>
      </c>
      <c r="I36" s="44"/>
      <c r="J36" s="32"/>
      <c r="K36" s="53">
        <f t="shared" si="0"/>
        <v>0</v>
      </c>
      <c r="L36" s="53">
        <f t="shared" si="1"/>
        <v>0</v>
      </c>
      <c r="M36" s="4"/>
      <c r="N36" s="4"/>
      <c r="O36" s="5">
        <v>0</v>
      </c>
      <c r="P36" s="94"/>
      <c r="Q36" s="6"/>
      <c r="R36" s="48">
        <f t="shared" si="3"/>
        <v>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45" t="s">
        <v>60</v>
      </c>
      <c r="G37" s="46" t="s">
        <v>28</v>
      </c>
      <c r="H37" s="138">
        <v>6500000</v>
      </c>
      <c r="I37" s="137"/>
      <c r="J37" s="138"/>
      <c r="K37" s="53">
        <f t="shared" si="0"/>
        <v>6500000</v>
      </c>
      <c r="L37" s="53">
        <f t="shared" si="1"/>
        <v>6500000</v>
      </c>
      <c r="M37" s="139"/>
      <c r="N37" s="139">
        <v>18349.71</v>
      </c>
      <c r="O37" s="181">
        <f>18399.99+16619.34+18326.09+17363.01+17049.59+16293.45</f>
        <v>104051.46999999999</v>
      </c>
      <c r="P37" s="140">
        <f>18349.71+18399.99+16619.34+18326.09+17363.01+17049.59</f>
        <v>106107.72999999998</v>
      </c>
      <c r="Q37" s="32">
        <f t="shared" si="2"/>
        <v>16293.450000000012</v>
      </c>
      <c r="R37" s="32">
        <f t="shared" si="3"/>
        <v>6516293.449999999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45" t="s">
        <v>60</v>
      </c>
      <c r="G38" s="46" t="s">
        <v>28</v>
      </c>
      <c r="H38" s="138">
        <v>12400000</v>
      </c>
      <c r="I38" s="137"/>
      <c r="J38" s="138"/>
      <c r="K38" s="153">
        <f t="shared" si="0"/>
        <v>12400000</v>
      </c>
      <c r="L38" s="153">
        <f t="shared" si="1"/>
        <v>12400000</v>
      </c>
      <c r="M38" s="139"/>
      <c r="N38" s="139">
        <v>35005.61</v>
      </c>
      <c r="O38" s="182">
        <f>35101.51+31704.59+35073.32+33010.5+32525.37+31082.9</f>
        <v>198498.19</v>
      </c>
      <c r="P38" s="140">
        <f>35005.61+35101.51+31704.59+35073.32+33010.5+32525.37</f>
        <v>202420.9</v>
      </c>
      <c r="Q38" s="32">
        <f t="shared" si="2"/>
        <v>31082.899999999994</v>
      </c>
      <c r="R38" s="32">
        <f t="shared" si="3"/>
        <v>12431082.899999999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66.75" customHeight="1">
      <c r="A39" s="50"/>
      <c r="B39" s="42" t="s">
        <v>15</v>
      </c>
      <c r="C39" s="52" t="s">
        <v>70</v>
      </c>
      <c r="D39" s="52" t="s">
        <v>34</v>
      </c>
      <c r="E39" s="44">
        <v>24800000</v>
      </c>
      <c r="F39" s="45" t="s">
        <v>71</v>
      </c>
      <c r="G39" s="46" t="s">
        <v>28</v>
      </c>
      <c r="H39" s="138">
        <v>24800000</v>
      </c>
      <c r="I39" s="174">
        <f>-(5756000+7084000)</f>
        <v>-12840000</v>
      </c>
      <c r="J39" s="138"/>
      <c r="K39" s="153">
        <f>H39+I39-J39</f>
        <v>11960000</v>
      </c>
      <c r="L39" s="153">
        <f>K39</f>
        <v>11960000</v>
      </c>
      <c r="M39" s="139"/>
      <c r="N39" s="139">
        <v>70011.21</v>
      </c>
      <c r="O39" s="182">
        <f>70203.02+20027.22+33719.99+31947.95+31371.24+29979.95</f>
        <v>217249.37000000002</v>
      </c>
      <c r="P39" s="140">
        <f>70011.21+70203.02+20027.22+33719.99+31947.95+31371.24</f>
        <v>257280.63</v>
      </c>
      <c r="Q39" s="32">
        <f>N39+O39-P39</f>
        <v>29979.95000000001</v>
      </c>
      <c r="R39" s="32">
        <f>K39+N39+O39-P39</f>
        <v>11989979.95</v>
      </c>
      <c r="S39" s="49"/>
      <c r="T39" s="49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66.75" customHeight="1">
      <c r="A40" s="50"/>
      <c r="B40" s="132" t="s">
        <v>15</v>
      </c>
      <c r="C40" s="43" t="s">
        <v>76</v>
      </c>
      <c r="D40" s="43" t="s">
        <v>34</v>
      </c>
      <c r="E40" s="2">
        <v>16000000</v>
      </c>
      <c r="F40" s="93" t="s">
        <v>78</v>
      </c>
      <c r="G40" s="133" t="s">
        <v>28</v>
      </c>
      <c r="H40" s="138">
        <v>16000000</v>
      </c>
      <c r="I40" s="174">
        <v>-4000000</v>
      </c>
      <c r="J40" s="138"/>
      <c r="K40" s="153">
        <f>H40+I40-J40</f>
        <v>12000000</v>
      </c>
      <c r="L40" s="153">
        <f>K40</f>
        <v>12000000</v>
      </c>
      <c r="M40" s="139"/>
      <c r="N40" s="139">
        <v>8742.3</v>
      </c>
      <c r="O40" s="182">
        <f>45292.27+27394.52+33832.77+32054.79+31476.16+30080.22</f>
        <v>200130.73</v>
      </c>
      <c r="P40" s="140">
        <f>8742.3+45292.27+27394.52+33832.77+32054.79+31476.16</f>
        <v>178792.81</v>
      </c>
      <c r="Q40" s="32">
        <f>N40+O40-P40</f>
        <v>30080.22</v>
      </c>
      <c r="R40" s="32">
        <f>K40+N40+O40-P40</f>
        <v>12030080.22</v>
      </c>
      <c r="S40" s="49"/>
      <c r="T40" s="49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66.75" customHeight="1">
      <c r="A41" s="180">
        <v>17</v>
      </c>
      <c r="B41" s="162" t="s">
        <v>15</v>
      </c>
      <c r="C41" s="163" t="s">
        <v>105</v>
      </c>
      <c r="D41" s="163" t="s">
        <v>34</v>
      </c>
      <c r="E41" s="164">
        <v>36756000</v>
      </c>
      <c r="F41" s="165" t="s">
        <v>106</v>
      </c>
      <c r="G41" s="46" t="s">
        <v>28</v>
      </c>
      <c r="H41" s="138"/>
      <c r="I41" s="174">
        <v>36756000</v>
      </c>
      <c r="J41" s="138"/>
      <c r="K41" s="153">
        <f>H41+I41-J41</f>
        <v>36756000</v>
      </c>
      <c r="L41" s="153">
        <f>K41</f>
        <v>36756000</v>
      </c>
      <c r="M41" s="139"/>
      <c r="N41" s="139"/>
      <c r="O41" s="154">
        <v>16011.52</v>
      </c>
      <c r="P41" s="140"/>
      <c r="Q41" s="32">
        <f>N41+O41-P41</f>
        <v>16011.52</v>
      </c>
      <c r="R41" s="32">
        <f>K41+N41+O41-P41</f>
        <v>36772011.52</v>
      </c>
      <c r="S41" s="49"/>
      <c r="T41" s="49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66.75" customHeight="1">
      <c r="A42" s="180">
        <v>17</v>
      </c>
      <c r="B42" s="162" t="s">
        <v>15</v>
      </c>
      <c r="C42" s="163" t="s">
        <v>107</v>
      </c>
      <c r="D42" s="163" t="s">
        <v>34</v>
      </c>
      <c r="E42" s="164">
        <v>36756000</v>
      </c>
      <c r="F42" s="165" t="s">
        <v>106</v>
      </c>
      <c r="G42" s="46" t="s">
        <v>28</v>
      </c>
      <c r="H42" s="138"/>
      <c r="I42" s="174">
        <v>20000000</v>
      </c>
      <c r="J42" s="138"/>
      <c r="K42" s="153">
        <f>H42+I42-J42</f>
        <v>20000000</v>
      </c>
      <c r="L42" s="153">
        <f>K42</f>
        <v>20000000</v>
      </c>
      <c r="M42" s="139"/>
      <c r="N42" s="139"/>
      <c r="O42" s="154">
        <v>16438.36</v>
      </c>
      <c r="P42" s="140"/>
      <c r="Q42" s="32">
        <f>N42+O42-P42</f>
        <v>16438.36</v>
      </c>
      <c r="R42" s="32">
        <f>K42+N42+O42-P42</f>
        <v>20016438.36</v>
      </c>
      <c r="S42" s="49"/>
      <c r="T42" s="49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.75" customHeight="1" thickBot="1">
      <c r="A43" s="95" t="s">
        <v>21</v>
      </c>
      <c r="B43" s="18"/>
      <c r="C43" s="18"/>
      <c r="D43" s="96"/>
      <c r="E43" s="97"/>
      <c r="F43" s="98"/>
      <c r="G43" s="98"/>
      <c r="H43" s="136">
        <f>H23+H24+H25+H26+H27+H28+H29+H31+H33+H34+H35+H36+H37+H38+H39+H40+H30+H32+H41+H42</f>
        <v>107985000</v>
      </c>
      <c r="I43" s="136">
        <f aca="true" t="shared" si="4" ref="I43:R43">I23+I24+I25+I26+I27+I28+I29+I31+I33+I34+I35+I36+I37+I38+I39+I40+I30+I32+I41+I42</f>
        <v>20000000</v>
      </c>
      <c r="J43" s="136">
        <f t="shared" si="4"/>
        <v>2592000</v>
      </c>
      <c r="K43" s="136">
        <f t="shared" si="4"/>
        <v>125393000</v>
      </c>
      <c r="L43" s="136">
        <f t="shared" si="4"/>
        <v>125393000</v>
      </c>
      <c r="M43" s="136">
        <f t="shared" si="4"/>
        <v>0</v>
      </c>
      <c r="N43" s="136">
        <f t="shared" si="4"/>
        <v>216818.72000000003</v>
      </c>
      <c r="O43" s="136">
        <f t="shared" si="4"/>
        <v>953320.4</v>
      </c>
      <c r="P43" s="136">
        <f t="shared" si="4"/>
        <v>1021500.3700000001</v>
      </c>
      <c r="Q43" s="136">
        <f t="shared" si="4"/>
        <v>148638.75</v>
      </c>
      <c r="R43" s="136">
        <f t="shared" si="4"/>
        <v>125541638.75000001</v>
      </c>
      <c r="S43" s="136">
        <f>S23+S24+S25+S26+S27+S28+S29+S31+S33+S34+S35+S36+S37+S38+S39+S40</f>
        <v>0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19" ht="16.5" customHeight="1" thickBot="1">
      <c r="A44" s="141" t="s">
        <v>19</v>
      </c>
      <c r="B44" s="142" t="s">
        <v>23</v>
      </c>
      <c r="C44" s="142"/>
      <c r="D44" s="142"/>
      <c r="E44" s="142"/>
      <c r="F44" s="142"/>
      <c r="G44" s="20"/>
      <c r="H44" s="10"/>
      <c r="I44" s="10"/>
      <c r="J44" s="10"/>
      <c r="K44" s="10"/>
      <c r="L44" s="99"/>
      <c r="M44" s="10"/>
      <c r="N44" s="10"/>
      <c r="O44" s="10"/>
      <c r="P44" s="146"/>
      <c r="Q44" s="10"/>
      <c r="R44" s="147"/>
      <c r="S44" s="25"/>
    </row>
    <row r="45" spans="1:19" ht="69" customHeight="1">
      <c r="A45" s="144">
        <v>1</v>
      </c>
      <c r="B45" s="42" t="s">
        <v>23</v>
      </c>
      <c r="C45" s="145" t="s">
        <v>57</v>
      </c>
      <c r="D45" s="132" t="s">
        <v>58</v>
      </c>
      <c r="E45" s="17">
        <v>9000000</v>
      </c>
      <c r="F45" s="132" t="s">
        <v>63</v>
      </c>
      <c r="G45" s="133" t="s">
        <v>28</v>
      </c>
      <c r="H45" s="7">
        <v>9000000</v>
      </c>
      <c r="I45" s="159"/>
      <c r="J45" s="7">
        <v>9000000</v>
      </c>
      <c r="K45" s="6">
        <f>H45+I45-J45</f>
        <v>0</v>
      </c>
      <c r="L45" s="6">
        <f>K45</f>
        <v>0</v>
      </c>
      <c r="M45" s="3"/>
      <c r="N45" s="3">
        <v>0</v>
      </c>
      <c r="O45" s="3">
        <f>133767.12+120821.92-4315.07</f>
        <v>250273.96999999997</v>
      </c>
      <c r="P45" s="17">
        <f>133767.12+120821.92-4315.07</f>
        <v>250273.96999999997</v>
      </c>
      <c r="Q45" s="6">
        <f>N45+O45-P45</f>
        <v>0</v>
      </c>
      <c r="R45" s="6">
        <f>K45+N45+O45-P45</f>
        <v>0</v>
      </c>
      <c r="S45" s="25"/>
    </row>
    <row r="46" spans="1:19" ht="69" customHeight="1">
      <c r="A46" s="152">
        <v>2</v>
      </c>
      <c r="B46" s="42" t="s">
        <v>23</v>
      </c>
      <c r="C46" s="145" t="s">
        <v>61</v>
      </c>
      <c r="D46" s="132" t="s">
        <v>58</v>
      </c>
      <c r="E46" s="17">
        <v>5000000</v>
      </c>
      <c r="F46" s="132" t="s">
        <v>62</v>
      </c>
      <c r="G46" s="133" t="s">
        <v>28</v>
      </c>
      <c r="H46" s="7"/>
      <c r="I46" s="159"/>
      <c r="J46" s="7"/>
      <c r="K46" s="6">
        <f>H46+I46-J46</f>
        <v>0</v>
      </c>
      <c r="L46" s="6">
        <f>K46</f>
        <v>0</v>
      </c>
      <c r="M46" s="3"/>
      <c r="N46" s="3">
        <v>0</v>
      </c>
      <c r="O46" s="17"/>
      <c r="P46" s="17"/>
      <c r="Q46" s="6">
        <f>N46+O46-P46</f>
        <v>0</v>
      </c>
      <c r="R46" s="6">
        <f>K46+N46+O46-P46</f>
        <v>0</v>
      </c>
      <c r="S46" s="25"/>
    </row>
    <row r="47" spans="1:19" ht="69" customHeight="1">
      <c r="A47" s="152">
        <v>3</v>
      </c>
      <c r="B47" s="42" t="s">
        <v>23</v>
      </c>
      <c r="C47" s="145" t="s">
        <v>68</v>
      </c>
      <c r="D47" s="132" t="s">
        <v>58</v>
      </c>
      <c r="E47" s="17"/>
      <c r="F47" s="132" t="s">
        <v>80</v>
      </c>
      <c r="G47" s="133" t="s">
        <v>28</v>
      </c>
      <c r="H47" s="159">
        <v>10000000</v>
      </c>
      <c r="I47" s="159"/>
      <c r="J47" s="159">
        <v>10000000</v>
      </c>
      <c r="K47" s="6">
        <f>H47+I47-J47</f>
        <v>0</v>
      </c>
      <c r="L47" s="6">
        <f>K47</f>
        <v>0</v>
      </c>
      <c r="M47" s="3"/>
      <c r="N47" s="3">
        <v>0</v>
      </c>
      <c r="O47" s="3">
        <f>148630.14+134246.58</f>
        <v>282876.72</v>
      </c>
      <c r="P47" s="17">
        <f>148630.14+134246.58</f>
        <v>282876.72</v>
      </c>
      <c r="Q47" s="6">
        <f>N47+O47-P47</f>
        <v>0</v>
      </c>
      <c r="R47" s="6">
        <f>K47+N47+O47-P47</f>
        <v>0</v>
      </c>
      <c r="S47" s="25"/>
    </row>
    <row r="48" spans="1:19" ht="69" customHeight="1">
      <c r="A48" s="152">
        <v>4</v>
      </c>
      <c r="B48" s="42" t="s">
        <v>23</v>
      </c>
      <c r="C48" s="145" t="s">
        <v>77</v>
      </c>
      <c r="D48" s="132" t="s">
        <v>58</v>
      </c>
      <c r="E48" s="17"/>
      <c r="F48" s="158">
        <v>43439</v>
      </c>
      <c r="G48" s="133"/>
      <c r="H48" s="159">
        <v>8000000</v>
      </c>
      <c r="I48" s="159"/>
      <c r="J48" s="159">
        <v>8000000</v>
      </c>
      <c r="K48" s="6">
        <f>H48+I48-J48</f>
        <v>0</v>
      </c>
      <c r="L48" s="6">
        <f>K48</f>
        <v>0</v>
      </c>
      <c r="M48" s="3"/>
      <c r="N48" s="3"/>
      <c r="O48" s="3">
        <f>105315.07+95123.29</f>
        <v>200438.36</v>
      </c>
      <c r="P48" s="17">
        <f>105315.07+95123.29</f>
        <v>200438.36</v>
      </c>
      <c r="Q48" s="6">
        <f>N48+O48-P48</f>
        <v>0</v>
      </c>
      <c r="R48" s="6">
        <f>K48+N48+O48-P48</f>
        <v>0</v>
      </c>
      <c r="S48" s="25"/>
    </row>
    <row r="49" spans="1:19" ht="16.5" customHeight="1" thickBot="1">
      <c r="A49" s="95" t="s">
        <v>21</v>
      </c>
      <c r="B49" s="143"/>
      <c r="C49" s="143"/>
      <c r="D49" s="14"/>
      <c r="E49" s="14"/>
      <c r="F49" s="14"/>
      <c r="G49" s="14"/>
      <c r="H49" s="4">
        <f>H45+H46+H47+H48</f>
        <v>27000000</v>
      </c>
      <c r="I49" s="4">
        <f aca="true" t="shared" si="5" ref="I49:R49">I45+I46+I47+I48</f>
        <v>0</v>
      </c>
      <c r="J49" s="4">
        <f t="shared" si="5"/>
        <v>27000000</v>
      </c>
      <c r="K49" s="1">
        <f t="shared" si="5"/>
        <v>0</v>
      </c>
      <c r="L49" s="1">
        <f t="shared" si="5"/>
        <v>0</v>
      </c>
      <c r="M49" s="1">
        <f t="shared" si="5"/>
        <v>0</v>
      </c>
      <c r="N49" s="1">
        <f t="shared" si="5"/>
        <v>0</v>
      </c>
      <c r="O49" s="1">
        <f t="shared" si="5"/>
        <v>733589.0499999999</v>
      </c>
      <c r="P49" s="1">
        <f t="shared" si="5"/>
        <v>733589.0499999999</v>
      </c>
      <c r="Q49" s="1">
        <f t="shared" si="5"/>
        <v>0</v>
      </c>
      <c r="R49" s="1">
        <f t="shared" si="5"/>
        <v>0</v>
      </c>
      <c r="S49" s="1">
        <f>S45+S46+S47</f>
        <v>0</v>
      </c>
    </row>
    <row r="50" spans="1:35" s="83" customFormat="1" ht="18" customHeight="1" thickBot="1">
      <c r="A50" s="101" t="s">
        <v>5</v>
      </c>
      <c r="B50" s="102" t="s">
        <v>22</v>
      </c>
      <c r="C50" s="102"/>
      <c r="D50" s="148"/>
      <c r="E50" s="148"/>
      <c r="F50" s="148"/>
      <c r="G50" s="148"/>
      <c r="H50" s="148"/>
      <c r="I50" s="143"/>
      <c r="J50" s="143"/>
      <c r="K50" s="143"/>
      <c r="L50" s="143"/>
      <c r="M50" s="143"/>
      <c r="N50" s="143"/>
      <c r="O50" s="143"/>
      <c r="P50" s="151"/>
      <c r="Q50" s="143"/>
      <c r="R50" s="149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s="83" customFormat="1" ht="69.75" customHeight="1" hidden="1">
      <c r="A51" s="101"/>
      <c r="B51" s="103"/>
      <c r="C51" s="104"/>
      <c r="D51" s="104"/>
      <c r="E51" s="105"/>
      <c r="F51" s="104"/>
      <c r="G51" s="46"/>
      <c r="H51" s="62"/>
      <c r="I51" s="62"/>
      <c r="J51" s="33"/>
      <c r="K51" s="62"/>
      <c r="L51" s="32"/>
      <c r="M51" s="21"/>
      <c r="N51" s="21"/>
      <c r="O51" s="21"/>
      <c r="P51" s="150"/>
      <c r="Q51" s="62"/>
      <c r="R51" s="62"/>
      <c r="S51" s="82"/>
      <c r="T51" s="106"/>
      <c r="U51" s="106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35" s="83" customFormat="1" ht="18" customHeight="1" thickBot="1">
      <c r="A52" s="107" t="s">
        <v>21</v>
      </c>
      <c r="B52" s="108"/>
      <c r="C52" s="109"/>
      <c r="D52" s="109"/>
      <c r="E52" s="110"/>
      <c r="F52" s="111"/>
      <c r="G52" s="104"/>
      <c r="H52" s="34">
        <f>H51</f>
        <v>0</v>
      </c>
      <c r="I52" s="34">
        <f>I51</f>
        <v>0</v>
      </c>
      <c r="J52" s="34">
        <f>J51</f>
        <v>0</v>
      </c>
      <c r="K52" s="34">
        <f>K51</f>
        <v>0</v>
      </c>
      <c r="L52" s="34">
        <f>L51</f>
        <v>0</v>
      </c>
      <c r="M52" s="22">
        <v>3</v>
      </c>
      <c r="N52" s="22">
        <v>0</v>
      </c>
      <c r="O52" s="22">
        <v>0</v>
      </c>
      <c r="P52" s="22">
        <v>0</v>
      </c>
      <c r="Q52" s="34">
        <f>K52</f>
        <v>0</v>
      </c>
      <c r="R52" s="34">
        <f>Q52</f>
        <v>0</v>
      </c>
      <c r="S52" s="82"/>
      <c r="T52" s="11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</row>
    <row r="53" spans="1:20" ht="16.5" customHeight="1" thickBot="1">
      <c r="A53" s="113"/>
      <c r="B53" s="20" t="s">
        <v>16</v>
      </c>
      <c r="C53" s="19"/>
      <c r="D53" s="19"/>
      <c r="E53" s="19"/>
      <c r="F53" s="100"/>
      <c r="G53" s="114"/>
      <c r="H53" s="23">
        <f>H43+H51+H49</f>
        <v>134985000</v>
      </c>
      <c r="I53" s="23">
        <f aca="true" t="shared" si="6" ref="I53:R53">I43+I51+I49</f>
        <v>20000000</v>
      </c>
      <c r="J53" s="23">
        <f t="shared" si="6"/>
        <v>29592000</v>
      </c>
      <c r="K53" s="23">
        <f>K43+K51+K49</f>
        <v>125393000</v>
      </c>
      <c r="L53" s="23">
        <f t="shared" si="6"/>
        <v>125393000</v>
      </c>
      <c r="M53" s="23">
        <f t="shared" si="6"/>
        <v>0</v>
      </c>
      <c r="N53" s="23">
        <f t="shared" si="6"/>
        <v>216818.72000000003</v>
      </c>
      <c r="O53" s="23">
        <f t="shared" si="6"/>
        <v>1686909.45</v>
      </c>
      <c r="P53" s="23">
        <f t="shared" si="6"/>
        <v>1755089.42</v>
      </c>
      <c r="Q53" s="23">
        <f t="shared" si="6"/>
        <v>148638.75</v>
      </c>
      <c r="R53" s="23">
        <f t="shared" si="6"/>
        <v>125541638.75000001</v>
      </c>
      <c r="S53" s="25"/>
      <c r="T53" s="115"/>
    </row>
    <row r="54" spans="1:19" ht="16.5" customHeight="1">
      <c r="A54" s="25"/>
      <c r="B54" s="82"/>
      <c r="C54" s="10"/>
      <c r="D54" s="10"/>
      <c r="E54" s="10"/>
      <c r="F54" s="10"/>
      <c r="G54" s="10"/>
      <c r="H54" s="24"/>
      <c r="I54" s="24"/>
      <c r="J54" s="24"/>
      <c r="K54" s="24"/>
      <c r="L54" s="24"/>
      <c r="M54" s="40"/>
      <c r="N54" s="24"/>
      <c r="O54" s="24"/>
      <c r="P54" s="24"/>
      <c r="Q54" s="24"/>
      <c r="R54" s="24"/>
      <c r="S54" s="25"/>
    </row>
    <row r="55" spans="1:19" ht="16.5" customHeight="1">
      <c r="A55" s="25"/>
      <c r="B55" s="10" t="s">
        <v>36</v>
      </c>
      <c r="C55" s="10"/>
      <c r="D55" s="10"/>
      <c r="E55" s="10"/>
      <c r="F55" s="10"/>
      <c r="G55" s="10"/>
      <c r="H55" s="24" t="s">
        <v>45</v>
      </c>
      <c r="I55" s="24"/>
      <c r="J55" s="24"/>
      <c r="K55" s="24"/>
      <c r="L55" s="24"/>
      <c r="M55" s="40"/>
      <c r="N55" s="24"/>
      <c r="O55" s="24"/>
      <c r="P55" s="40"/>
      <c r="Q55" s="24"/>
      <c r="R55" s="24"/>
      <c r="S55" s="25"/>
    </row>
    <row r="56" spans="1:19" ht="16.5" customHeight="1">
      <c r="A56" s="2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4"/>
      <c r="Q56" s="10"/>
      <c r="R56" s="10"/>
      <c r="S56" s="25"/>
    </row>
    <row r="57" spans="1:19" ht="15.75" customHeight="1">
      <c r="A57" s="25"/>
      <c r="B57" s="10" t="s">
        <v>27</v>
      </c>
      <c r="C57" s="10"/>
      <c r="D57" s="116"/>
      <c r="E57" s="117"/>
      <c r="F57" s="117"/>
      <c r="G57" s="117"/>
      <c r="H57" s="35" t="s">
        <v>67</v>
      </c>
      <c r="I57" s="35"/>
      <c r="J57" s="35"/>
      <c r="K57" s="35"/>
      <c r="L57" s="35"/>
      <c r="M57" s="10"/>
      <c r="N57" s="10"/>
      <c r="O57" s="10"/>
      <c r="P57" s="10"/>
      <c r="Q57" s="10"/>
      <c r="R57" s="10"/>
      <c r="S57" s="25"/>
    </row>
    <row r="58" spans="1:19" ht="15.75" customHeight="1">
      <c r="A58" s="25"/>
      <c r="B58" s="10" t="s">
        <v>26</v>
      </c>
      <c r="C58" s="10"/>
      <c r="D58" s="116"/>
      <c r="E58" s="117"/>
      <c r="F58" s="117"/>
      <c r="G58" s="117"/>
      <c r="H58" s="35"/>
      <c r="I58" s="35"/>
      <c r="J58" s="35"/>
      <c r="K58" s="118"/>
      <c r="L58" s="118"/>
      <c r="M58" s="10"/>
      <c r="N58" s="10"/>
      <c r="O58" s="10"/>
      <c r="P58" s="10"/>
      <c r="Q58" s="10"/>
      <c r="R58" s="10"/>
      <c r="S58" s="25"/>
    </row>
    <row r="59" spans="1:19" ht="12.75">
      <c r="A59" s="25"/>
      <c r="B59" s="10"/>
      <c r="C59" s="10"/>
      <c r="D59" s="39"/>
      <c r="E59" s="10"/>
      <c r="F59" s="10"/>
      <c r="G59" s="10"/>
      <c r="H59" s="36"/>
      <c r="I59" s="36"/>
      <c r="J59" s="36"/>
      <c r="K59" s="36"/>
      <c r="L59" s="36"/>
      <c r="M59" s="10"/>
      <c r="N59" s="10"/>
      <c r="O59" s="10"/>
      <c r="P59" s="10"/>
      <c r="Q59" s="10"/>
      <c r="R59" s="10"/>
      <c r="S59" s="25"/>
    </row>
    <row r="60" spans="1:19" ht="0.75" customHeight="1">
      <c r="A60" s="25"/>
      <c r="B60" s="10"/>
      <c r="C60" s="10"/>
      <c r="D60" s="39"/>
      <c r="E60" s="10"/>
      <c r="F60" s="10"/>
      <c r="G60" s="10"/>
      <c r="H60" s="119"/>
      <c r="I60" s="36"/>
      <c r="J60" s="36"/>
      <c r="K60" s="36"/>
      <c r="L60" s="36"/>
      <c r="M60" s="10"/>
      <c r="N60" s="10"/>
      <c r="O60" s="10"/>
      <c r="P60" s="10"/>
      <c r="Q60" s="10"/>
      <c r="R60" s="10"/>
      <c r="S60" s="25"/>
    </row>
    <row r="61" spans="1:19" ht="14.25" customHeight="1" hidden="1">
      <c r="A61" s="25"/>
      <c r="B61" s="10"/>
      <c r="C61" s="10"/>
      <c r="D61" s="39"/>
      <c r="E61" s="10"/>
      <c r="F61" s="10"/>
      <c r="G61" s="10"/>
      <c r="H61" s="36"/>
      <c r="I61" s="36"/>
      <c r="J61" s="36"/>
      <c r="K61" s="36"/>
      <c r="L61" s="36"/>
      <c r="M61" s="10"/>
      <c r="N61" s="10"/>
      <c r="O61" s="10"/>
      <c r="P61" s="10"/>
      <c r="Q61" s="10"/>
      <c r="R61" s="10"/>
      <c r="S61" s="25"/>
    </row>
    <row r="62" spans="1:19" ht="13.5" customHeight="1" hidden="1">
      <c r="A62" s="25"/>
      <c r="B62" s="10"/>
      <c r="C62" s="10"/>
      <c r="D62" s="10"/>
      <c r="E62" s="10"/>
      <c r="F62" s="10"/>
      <c r="G62" s="10"/>
      <c r="H62" s="37"/>
      <c r="I62" s="37"/>
      <c r="J62" s="37"/>
      <c r="K62" s="37"/>
      <c r="L62" s="37"/>
      <c r="M62" s="10"/>
      <c r="N62" s="10"/>
      <c r="O62" s="10"/>
      <c r="P62" s="10"/>
      <c r="Q62" s="10"/>
      <c r="R62" s="10"/>
      <c r="S62" s="25"/>
    </row>
    <row r="63" spans="2:18" s="25" customFormat="1" ht="12.75" customHeight="1">
      <c r="B63" s="10" t="s">
        <v>14</v>
      </c>
      <c r="C63" s="39"/>
      <c r="D63" s="120"/>
      <c r="E63" s="121"/>
      <c r="F63" s="10"/>
      <c r="G63" s="10"/>
      <c r="H63" s="37"/>
      <c r="I63" s="37"/>
      <c r="J63" s="37"/>
      <c r="K63" s="37"/>
      <c r="L63" s="37"/>
      <c r="M63" s="10"/>
      <c r="N63" s="10"/>
      <c r="O63" s="10"/>
      <c r="P63" s="10"/>
      <c r="Q63" s="10"/>
      <c r="R63" s="10"/>
    </row>
    <row r="64" spans="1:18" s="25" customFormat="1" ht="9.75" customHeight="1">
      <c r="A64" s="122"/>
      <c r="B64" s="123" t="s">
        <v>20</v>
      </c>
      <c r="C64" s="10"/>
      <c r="D64" s="10"/>
      <c r="E64" s="124"/>
      <c r="F64" s="124"/>
      <c r="G64" s="125"/>
      <c r="H64" s="38"/>
      <c r="I64" s="38"/>
      <c r="J64" s="38"/>
      <c r="K64" s="38"/>
      <c r="L64" s="38"/>
      <c r="M64" s="10"/>
      <c r="N64" s="10"/>
      <c r="O64" s="10"/>
      <c r="P64" s="10"/>
      <c r="Q64" s="10"/>
      <c r="R64" s="10"/>
    </row>
    <row r="65" spans="2:18" s="25" customFormat="1" ht="12.75">
      <c r="B65" s="39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38"/>
      <c r="G68" s="38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38"/>
      <c r="F69" s="126"/>
      <c r="G69" s="126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2"/>
      <c r="B70" s="122"/>
      <c r="C70" s="127"/>
      <c r="D70" s="127"/>
      <c r="E70" s="127"/>
      <c r="F70" s="127"/>
      <c r="G70" s="127"/>
      <c r="H70" s="39"/>
      <c r="I70" s="39"/>
      <c r="J70" s="39"/>
      <c r="K70" s="39"/>
      <c r="L70" s="39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38"/>
      <c r="F71" s="38"/>
      <c r="G71" s="38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38"/>
      <c r="F72" s="38"/>
      <c r="G72" s="38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38"/>
      <c r="F73" s="38"/>
      <c r="G73" s="38"/>
      <c r="H73" s="35"/>
      <c r="I73" s="35"/>
      <c r="J73" s="35"/>
      <c r="K73" s="35"/>
      <c r="L73" s="35"/>
      <c r="M73" s="10"/>
      <c r="N73" s="10"/>
      <c r="O73" s="10"/>
      <c r="P73" s="10"/>
      <c r="Q73" s="10"/>
      <c r="R73" s="10"/>
    </row>
    <row r="74" spans="1:18" s="25" customFormat="1" ht="18.75">
      <c r="A74" s="128"/>
      <c r="B74" s="10"/>
      <c r="C74" s="10"/>
      <c r="D74" s="10"/>
      <c r="E74" s="125"/>
      <c r="F74" s="125"/>
      <c r="G74" s="125"/>
      <c r="H74" s="38"/>
      <c r="I74" s="38"/>
      <c r="J74" s="38"/>
      <c r="K74" s="38"/>
      <c r="L74" s="38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16"/>
      <c r="E75" s="117"/>
      <c r="F75" s="129"/>
      <c r="G75" s="129"/>
      <c r="H75" s="35"/>
      <c r="I75" s="35"/>
      <c r="J75" s="35"/>
      <c r="K75" s="35"/>
      <c r="L75" s="35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29"/>
      <c r="G76" s="129"/>
      <c r="H76" s="35"/>
      <c r="I76" s="35"/>
      <c r="J76" s="35"/>
      <c r="K76" s="35"/>
      <c r="L76" s="35"/>
      <c r="M76" s="10"/>
      <c r="N76" s="10"/>
      <c r="O76" s="10"/>
      <c r="P76" s="10"/>
      <c r="Q76" s="10"/>
      <c r="R76" s="10"/>
    </row>
    <row r="77" spans="2:18" s="25" customFormat="1" ht="12.75">
      <c r="B77" s="10"/>
      <c r="C77" s="10"/>
      <c r="D77" s="116"/>
      <c r="E77" s="117"/>
      <c r="F77" s="129"/>
      <c r="G77" s="129"/>
      <c r="H77" s="35"/>
      <c r="I77" s="35"/>
      <c r="J77" s="35"/>
      <c r="K77" s="35"/>
      <c r="L77" s="35"/>
      <c r="M77" s="10"/>
      <c r="N77" s="10"/>
      <c r="O77" s="10"/>
      <c r="P77" s="10"/>
      <c r="Q77" s="10"/>
      <c r="R77" s="10"/>
    </row>
    <row r="78" spans="1:18" s="25" customFormat="1" ht="18.75">
      <c r="A78" s="122"/>
      <c r="B78" s="122"/>
      <c r="C78" s="122"/>
      <c r="D78" s="122"/>
      <c r="E78" s="122"/>
      <c r="F78" s="122"/>
      <c r="G78" s="130"/>
      <c r="H78" s="131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 s="25" customFormat="1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 s="25" customFormat="1" ht="12.75">
      <c r="B80" s="10"/>
      <c r="C80" s="10"/>
      <c r="D80" s="116"/>
      <c r="E80" s="117"/>
      <c r="F80" s="117"/>
      <c r="G80" s="117"/>
      <c r="H80" s="35"/>
      <c r="I80" s="35"/>
      <c r="J80" s="35"/>
      <c r="K80" s="118"/>
      <c r="L80" s="118"/>
      <c r="M80" s="10"/>
      <c r="N80" s="10"/>
      <c r="O80" s="10"/>
      <c r="P80" s="10"/>
      <c r="Q80" s="10"/>
      <c r="R80" s="10"/>
    </row>
    <row r="81" spans="2:18" s="25" customFormat="1" ht="12.75">
      <c r="B81" s="10"/>
      <c r="C81" s="10"/>
      <c r="D81" s="39"/>
      <c r="E81" s="10"/>
      <c r="F81" s="10"/>
      <c r="G81" s="10"/>
      <c r="H81" s="36"/>
      <c r="I81" s="36"/>
      <c r="J81" s="36"/>
      <c r="K81" s="36"/>
      <c r="L81" s="36"/>
      <c r="M81" s="10"/>
      <c r="N81" s="10"/>
      <c r="O81" s="10"/>
      <c r="Q81" s="10"/>
      <c r="R81" s="10"/>
    </row>
    <row r="82" s="25" customFormat="1" ht="12.75">
      <c r="P82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82"/>
  <sheetViews>
    <sheetView zoomScalePageLayoutView="0" workbookViewId="0" topLeftCell="A7">
      <pane ySplit="3195" topLeftCell="A40" activePane="bottomLeft" state="split"/>
      <selection pane="topLeft" activeCell="A7" sqref="A7"/>
      <selection pane="bottomLeft" activeCell="H40" sqref="H4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hidden="1" customWidth="1"/>
    <col min="21" max="21" width="12.875" style="8" hidden="1" customWidth="1"/>
    <col min="22" max="22" width="11.75390625" style="8" hidden="1" customWidth="1"/>
    <col min="23" max="48" width="0" style="8" hidden="1" customWidth="1"/>
    <col min="49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108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109</v>
      </c>
      <c r="J8" s="11" t="s">
        <v>110</v>
      </c>
      <c r="K8" s="11" t="s">
        <v>111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8">H23+I23-J23</f>
        <v>0</v>
      </c>
      <c r="L23" s="47">
        <f aca="true" t="shared" si="1" ref="L23:L38">K23</f>
        <v>0</v>
      </c>
      <c r="M23" s="7"/>
      <c r="N23" s="7"/>
      <c r="O23" s="5"/>
      <c r="P23" s="7"/>
      <c r="Q23" s="6">
        <f aca="true" t="shared" si="2" ref="Q23:Q38">N23+O23-P23</f>
        <v>0</v>
      </c>
      <c r="R23" s="48">
        <f aca="true" t="shared" si="3" ref="R23:R38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83" t="s">
        <v>65</v>
      </c>
      <c r="G25" s="46" t="s">
        <v>28</v>
      </c>
      <c r="H25" s="32">
        <v>839000</v>
      </c>
      <c r="I25" s="32"/>
      <c r="J25" s="32">
        <f>120000+120000+120000+120000+120000+120000+119000</f>
        <v>839000</v>
      </c>
      <c r="K25" s="53">
        <f t="shared" si="0"/>
        <v>0</v>
      </c>
      <c r="L25" s="47">
        <f t="shared" si="1"/>
        <v>0</v>
      </c>
      <c r="M25" s="7"/>
      <c r="N25" s="7">
        <v>71.06</v>
      </c>
      <c r="O25" s="181">
        <f>63.04+52.2+45.62+35.1+25.56+14.71+5.87</f>
        <v>242.10000000000002</v>
      </c>
      <c r="P25" s="7">
        <f>71.06+63.04+52.2+45.62+35.1+25.56+14.71</f>
        <v>307.29</v>
      </c>
      <c r="Q25" s="6">
        <f t="shared" si="2"/>
        <v>5.8700000000000045</v>
      </c>
      <c r="R25" s="48">
        <f t="shared" si="3"/>
        <v>5.8700000000000045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83" t="s">
        <v>65</v>
      </c>
      <c r="G26" s="46" t="s">
        <v>28</v>
      </c>
      <c r="H26" s="32">
        <v>2184000</v>
      </c>
      <c r="I26" s="32"/>
      <c r="J26" s="32">
        <f>312000+312000+312000+312000+312000+312000+312000</f>
        <v>2184000</v>
      </c>
      <c r="K26" s="53">
        <f t="shared" si="0"/>
        <v>0</v>
      </c>
      <c r="L26" s="47">
        <f t="shared" si="1"/>
        <v>0</v>
      </c>
      <c r="M26" s="7"/>
      <c r="N26" s="7">
        <v>184.98</v>
      </c>
      <c r="O26" s="181">
        <f>164.12+135.92+118.82+91.47+66.67+38.46+15.39</f>
        <v>630.8499999999999</v>
      </c>
      <c r="P26" s="7">
        <f>184.98+164.12+135.92+118.82+91.47+66.67+38.46</f>
        <v>800.4399999999999</v>
      </c>
      <c r="Q26" s="6">
        <f t="shared" si="2"/>
        <v>15.389999999999986</v>
      </c>
      <c r="R26" s="48">
        <f t="shared" si="3"/>
        <v>15.389999999999986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183" t="s">
        <v>112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160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183" t="s">
        <v>112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160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183" t="s">
        <v>113</v>
      </c>
      <c r="G29" s="46" t="s">
        <v>28</v>
      </c>
      <c r="H29" s="32">
        <v>7107000</v>
      </c>
      <c r="I29" s="167">
        <f>-(5523000+1584000)</f>
        <v>-7107000</v>
      </c>
      <c r="J29" s="32"/>
      <c r="K29" s="53">
        <f t="shared" si="0"/>
        <v>0</v>
      </c>
      <c r="L29" s="160">
        <f t="shared" si="1"/>
        <v>0</v>
      </c>
      <c r="M29" s="7"/>
      <c r="N29" s="7">
        <v>4471.68</v>
      </c>
      <c r="O29" s="5">
        <f>4483.94</f>
        <v>4483.94</v>
      </c>
      <c r="P29" s="7">
        <f>4471.68+4483.94</f>
        <v>8955.619999999999</v>
      </c>
      <c r="Q29" s="6">
        <f t="shared" si="2"/>
        <v>0</v>
      </c>
      <c r="R29" s="48">
        <f t="shared" si="3"/>
        <v>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83" t="s">
        <v>113</v>
      </c>
      <c r="G30" s="166"/>
      <c r="H30" s="167"/>
      <c r="I30" s="167">
        <v>5523000</v>
      </c>
      <c r="J30" s="167"/>
      <c r="K30" s="168">
        <f t="shared" si="0"/>
        <v>5523000</v>
      </c>
      <c r="L30" s="160">
        <f t="shared" si="1"/>
        <v>5523000</v>
      </c>
      <c r="M30" s="169"/>
      <c r="N30" s="169"/>
      <c r="O30" s="170"/>
      <c r="P30" s="169"/>
      <c r="Q30" s="6">
        <f t="shared" si="2"/>
        <v>0</v>
      </c>
      <c r="R30" s="48">
        <f t="shared" si="3"/>
        <v>5523000</v>
      </c>
      <c r="S30" s="171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5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183"/>
      <c r="G31" s="46" t="s">
        <v>28</v>
      </c>
      <c r="H31" s="32">
        <v>5055000</v>
      </c>
      <c r="I31" s="167">
        <f>-(2723000+2332000)</f>
        <v>-5055000</v>
      </c>
      <c r="J31" s="32"/>
      <c r="K31" s="53">
        <f t="shared" si="0"/>
        <v>0</v>
      </c>
      <c r="L31" s="160">
        <f t="shared" si="1"/>
        <v>0</v>
      </c>
      <c r="M31" s="7"/>
      <c r="N31" s="7">
        <v>6583.31</v>
      </c>
      <c r="O31" s="5">
        <f>6601.35</f>
        <v>6601.35</v>
      </c>
      <c r="P31" s="7">
        <f>6583.31+6601.35</f>
        <v>13184.66</v>
      </c>
      <c r="Q31" s="6">
        <f t="shared" si="2"/>
        <v>0</v>
      </c>
      <c r="R31" s="48">
        <f t="shared" si="3"/>
        <v>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73" customFormat="1" ht="66.75" customHeight="1">
      <c r="A32" s="161"/>
      <c r="B32" s="162"/>
      <c r="C32" s="163" t="s">
        <v>103</v>
      </c>
      <c r="D32" s="163"/>
      <c r="E32" s="164"/>
      <c r="F32" s="183" t="s">
        <v>113</v>
      </c>
      <c r="G32" s="166"/>
      <c r="H32" s="167"/>
      <c r="I32" s="167">
        <v>2723000</v>
      </c>
      <c r="J32" s="167"/>
      <c r="K32" s="168">
        <f t="shared" si="0"/>
        <v>2723000</v>
      </c>
      <c r="L32" s="160">
        <f t="shared" si="1"/>
        <v>2723000</v>
      </c>
      <c r="M32" s="169"/>
      <c r="N32" s="169"/>
      <c r="O32" s="170"/>
      <c r="P32" s="169"/>
      <c r="Q32" s="6">
        <f t="shared" si="2"/>
        <v>0</v>
      </c>
      <c r="R32" s="48">
        <f t="shared" si="3"/>
        <v>2723000</v>
      </c>
      <c r="S32" s="171"/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183">
        <v>42972</v>
      </c>
      <c r="G33" s="46" t="s">
        <v>28</v>
      </c>
      <c r="H33" s="32">
        <v>6000000</v>
      </c>
      <c r="I33" s="32">
        <v>-6000000</v>
      </c>
      <c r="J33" s="32"/>
      <c r="K33" s="53">
        <f t="shared" si="0"/>
        <v>0</v>
      </c>
      <c r="L33" s="160">
        <f t="shared" si="1"/>
        <v>0</v>
      </c>
      <c r="M33" s="7"/>
      <c r="N33" s="7">
        <v>16938.2</v>
      </c>
      <c r="O33" s="5">
        <f>16984.6</f>
        <v>16984.6</v>
      </c>
      <c r="P33" s="94">
        <f>16938.2+16984.6</f>
        <v>33922.8</v>
      </c>
      <c r="Q33" s="6">
        <f t="shared" si="2"/>
        <v>0</v>
      </c>
      <c r="R33" s="48">
        <f t="shared" si="3"/>
        <v>0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184">
        <v>43064</v>
      </c>
      <c r="G34" s="133" t="s">
        <v>28</v>
      </c>
      <c r="H34" s="6">
        <v>10000000</v>
      </c>
      <c r="I34" s="6">
        <v>-10000000</v>
      </c>
      <c r="J34" s="6"/>
      <c r="K34" s="47">
        <f t="shared" si="0"/>
        <v>0</v>
      </c>
      <c r="L34" s="160">
        <f t="shared" si="1"/>
        <v>0</v>
      </c>
      <c r="M34" s="7"/>
      <c r="N34" s="7">
        <v>28230.33</v>
      </c>
      <c r="O34" s="134">
        <f>28307.67</f>
        <v>28307.67</v>
      </c>
      <c r="P34" s="135">
        <f>28230.33+28307.67</f>
        <v>56538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183">
        <v>43240</v>
      </c>
      <c r="G35" s="133" t="s">
        <v>28</v>
      </c>
      <c r="H35" s="32">
        <v>10000000</v>
      </c>
      <c r="I35" s="44"/>
      <c r="J35" s="32"/>
      <c r="K35" s="47">
        <f t="shared" si="0"/>
        <v>10000000</v>
      </c>
      <c r="L35" s="47">
        <f t="shared" si="1"/>
        <v>10000000</v>
      </c>
      <c r="M35" s="4"/>
      <c r="N35" s="4">
        <v>28230.33</v>
      </c>
      <c r="O35" s="181">
        <f>28307.67+25568.22+28193.97+26712.33+26230.14+8699.18+25479.45</f>
        <v>169190.96000000002</v>
      </c>
      <c r="P35" s="94">
        <f>28230.33+28307.67+25568.22+28193.97+26712.33+26230.14+8699.18</f>
        <v>171941.84000000003</v>
      </c>
      <c r="Q35" s="6">
        <f t="shared" si="2"/>
        <v>25479.45000000001</v>
      </c>
      <c r="R35" s="48">
        <f t="shared" si="3"/>
        <v>10025479.450000001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>
        <v>42359</v>
      </c>
      <c r="G36" s="46" t="s">
        <v>28</v>
      </c>
      <c r="H36" s="32">
        <v>0</v>
      </c>
      <c r="I36" s="44"/>
      <c r="J36" s="32"/>
      <c r="K36" s="53">
        <f t="shared" si="0"/>
        <v>0</v>
      </c>
      <c r="L36" s="53">
        <f t="shared" si="1"/>
        <v>0</v>
      </c>
      <c r="M36" s="4"/>
      <c r="N36" s="4"/>
      <c r="O36" s="5">
        <v>0</v>
      </c>
      <c r="P36" s="94"/>
      <c r="Q36" s="6"/>
      <c r="R36" s="48">
        <f t="shared" si="3"/>
        <v>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183" t="s">
        <v>60</v>
      </c>
      <c r="G37" s="46" t="s">
        <v>28</v>
      </c>
      <c r="H37" s="138">
        <v>6500000</v>
      </c>
      <c r="I37" s="137"/>
      <c r="J37" s="138"/>
      <c r="K37" s="53">
        <f t="shared" si="0"/>
        <v>6500000</v>
      </c>
      <c r="L37" s="53">
        <f t="shared" si="1"/>
        <v>6500000</v>
      </c>
      <c r="M37" s="139"/>
      <c r="N37" s="139">
        <v>18349.71</v>
      </c>
      <c r="O37" s="181">
        <f>18399.99+16619.34+18326.09+17363.01+17049.59+16293.45+16561.64</f>
        <v>120613.10999999999</v>
      </c>
      <c r="P37" s="140">
        <f>18349.71+18399.99+16619.34+18326.09+17363.01+17049.59+16293.45</f>
        <v>122401.17999999998</v>
      </c>
      <c r="Q37" s="32">
        <f t="shared" si="2"/>
        <v>16561.64</v>
      </c>
      <c r="R37" s="32">
        <f t="shared" si="3"/>
        <v>6516561.640000001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183" t="s">
        <v>114</v>
      </c>
      <c r="G38" s="46" t="s">
        <v>28</v>
      </c>
      <c r="H38" s="138">
        <v>12400000</v>
      </c>
      <c r="I38" s="137"/>
      <c r="J38" s="138"/>
      <c r="K38" s="153">
        <f t="shared" si="0"/>
        <v>12400000</v>
      </c>
      <c r="L38" s="153">
        <f t="shared" si="1"/>
        <v>12400000</v>
      </c>
      <c r="M38" s="139"/>
      <c r="N38" s="139">
        <v>35005.61</v>
      </c>
      <c r="O38" s="182">
        <f>35101.51+31704.59+35073.32+33010.5+32525.37+31082.9+31594.52</f>
        <v>230092.71</v>
      </c>
      <c r="P38" s="140">
        <f>35005.61+35101.51+31704.59+35073.32+33010.5+32525.37+31082.9</f>
        <v>233503.8</v>
      </c>
      <c r="Q38" s="32">
        <f t="shared" si="2"/>
        <v>31594.52000000002</v>
      </c>
      <c r="R38" s="32">
        <f t="shared" si="3"/>
        <v>12431594.52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66.75" customHeight="1">
      <c r="A39" s="50"/>
      <c r="B39" s="42" t="s">
        <v>15</v>
      </c>
      <c r="C39" s="52" t="s">
        <v>70</v>
      </c>
      <c r="D39" s="52" t="s">
        <v>34</v>
      </c>
      <c r="E39" s="44">
        <v>24800000</v>
      </c>
      <c r="F39" s="183" t="s">
        <v>71</v>
      </c>
      <c r="G39" s="46" t="s">
        <v>28</v>
      </c>
      <c r="H39" s="138">
        <v>24800000</v>
      </c>
      <c r="I39" s="174">
        <f>-(5756000+7084000)</f>
        <v>-12840000</v>
      </c>
      <c r="J39" s="138"/>
      <c r="K39" s="153">
        <f>H39+I39-J39</f>
        <v>11960000</v>
      </c>
      <c r="L39" s="153">
        <f>K39</f>
        <v>11960000</v>
      </c>
      <c r="M39" s="139"/>
      <c r="N39" s="139">
        <v>70011.21</v>
      </c>
      <c r="O39" s="182">
        <f>70203.02+20027.22+33719.99+31947.95+31371.24+29979.95+30473.42</f>
        <v>247722.79000000004</v>
      </c>
      <c r="P39" s="140">
        <f>70011.21+70203.02+20027.22+33719.99+31947.95+31371.24+29979.95</f>
        <v>287260.58</v>
      </c>
      <c r="Q39" s="32">
        <f>N39+O39-P39</f>
        <v>30473.420000000042</v>
      </c>
      <c r="R39" s="32">
        <f>K39+N39+O39-P39</f>
        <v>11990473.42</v>
      </c>
      <c r="S39" s="49"/>
      <c r="T39" s="49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66.75" customHeight="1">
      <c r="A40" s="50"/>
      <c r="B40" s="132" t="s">
        <v>15</v>
      </c>
      <c r="C40" s="43" t="s">
        <v>76</v>
      </c>
      <c r="D40" s="43" t="s">
        <v>34</v>
      </c>
      <c r="E40" s="2">
        <v>16000000</v>
      </c>
      <c r="F40" s="184">
        <v>43819</v>
      </c>
      <c r="G40" s="133" t="s">
        <v>28</v>
      </c>
      <c r="H40" s="138">
        <v>16000000</v>
      </c>
      <c r="I40" s="174">
        <v>-4000000</v>
      </c>
      <c r="J40" s="138"/>
      <c r="K40" s="153">
        <f>H40+I40-J40</f>
        <v>12000000</v>
      </c>
      <c r="L40" s="153">
        <f>K40</f>
        <v>12000000</v>
      </c>
      <c r="M40" s="139"/>
      <c r="N40" s="139">
        <v>8742.3</v>
      </c>
      <c r="O40" s="182">
        <f>45292.27+27394.52+33832.77+32054.79+31476.16+30080.22+30575.34</f>
        <v>230706.07</v>
      </c>
      <c r="P40" s="140">
        <f>8742.3+45292.27+27394.52+33832.77+32054.79+31476.16+30080.22</f>
        <v>208873.03</v>
      </c>
      <c r="Q40" s="32">
        <f>N40+O40-P40</f>
        <v>30575.339999999997</v>
      </c>
      <c r="R40" s="32">
        <f>K40+N40+O40-P40</f>
        <v>12030575.340000002</v>
      </c>
      <c r="S40" s="49"/>
      <c r="T40" s="49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66.75" customHeight="1">
      <c r="A41" s="180">
        <v>17</v>
      </c>
      <c r="B41" s="162" t="s">
        <v>15</v>
      </c>
      <c r="C41" s="163" t="s">
        <v>105</v>
      </c>
      <c r="D41" s="163" t="s">
        <v>34</v>
      </c>
      <c r="E41" s="164">
        <v>36756000</v>
      </c>
      <c r="F41" s="183" t="s">
        <v>106</v>
      </c>
      <c r="G41" s="46" t="s">
        <v>28</v>
      </c>
      <c r="H41" s="138"/>
      <c r="I41" s="174">
        <v>36756000</v>
      </c>
      <c r="J41" s="138"/>
      <c r="K41" s="153">
        <f>H41+I41-J41</f>
        <v>36756000</v>
      </c>
      <c r="L41" s="153">
        <f>K41</f>
        <v>36756000</v>
      </c>
      <c r="M41" s="139"/>
      <c r="N41" s="139"/>
      <c r="O41" s="154">
        <v>16011.52</v>
      </c>
      <c r="P41" s="140">
        <f>16011.52</f>
        <v>16011.52</v>
      </c>
      <c r="Q41" s="32">
        <f>N41+O41-P41</f>
        <v>0</v>
      </c>
      <c r="R41" s="32">
        <f>K41+N41+O41-P41</f>
        <v>36756000</v>
      </c>
      <c r="S41" s="49"/>
      <c r="T41" s="49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66.75" customHeight="1">
      <c r="A42" s="180">
        <v>17</v>
      </c>
      <c r="B42" s="162" t="s">
        <v>15</v>
      </c>
      <c r="C42" s="163" t="s">
        <v>107</v>
      </c>
      <c r="D42" s="163" t="s">
        <v>34</v>
      </c>
      <c r="E42" s="164">
        <v>20000000</v>
      </c>
      <c r="F42" s="183">
        <v>43982</v>
      </c>
      <c r="G42" s="46" t="s">
        <v>28</v>
      </c>
      <c r="H42" s="138"/>
      <c r="I42" s="174">
        <v>20000000</v>
      </c>
      <c r="J42" s="138"/>
      <c r="K42" s="153">
        <f>H42+I42-J42</f>
        <v>20000000</v>
      </c>
      <c r="L42" s="153">
        <f>K42</f>
        <v>20000000</v>
      </c>
      <c r="M42" s="139"/>
      <c r="N42" s="139"/>
      <c r="O42" s="154">
        <v>16438.36</v>
      </c>
      <c r="P42" s="140">
        <f>16438.36</f>
        <v>16438.36</v>
      </c>
      <c r="Q42" s="32">
        <f>N42+O42-P42</f>
        <v>0</v>
      </c>
      <c r="R42" s="32">
        <f>K42+N42+O42-P42</f>
        <v>20000000</v>
      </c>
      <c r="S42" s="49"/>
      <c r="T42" s="49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.75" customHeight="1" thickBot="1">
      <c r="A43" s="95" t="s">
        <v>21</v>
      </c>
      <c r="B43" s="18"/>
      <c r="C43" s="18"/>
      <c r="D43" s="96"/>
      <c r="E43" s="97"/>
      <c r="F43" s="98"/>
      <c r="G43" s="98"/>
      <c r="H43" s="136">
        <f>H23+H24+H25+H26+H27+H28+H29+H31+H33+H34+H35+H36+H37+H38+H39+H40+H30+H32+H41+H42</f>
        <v>107985000</v>
      </c>
      <c r="I43" s="136">
        <f aca="true" t="shared" si="4" ref="I43:R43">I23+I24+I25+I26+I27+I28+I29+I31+I33+I34+I35+I36+I37+I38+I39+I40+I30+I32+I41+I42</f>
        <v>20000000</v>
      </c>
      <c r="J43" s="136">
        <f t="shared" si="4"/>
        <v>3023000</v>
      </c>
      <c r="K43" s="136">
        <f t="shared" si="4"/>
        <v>124962000</v>
      </c>
      <c r="L43" s="136">
        <f t="shared" si="4"/>
        <v>124962000</v>
      </c>
      <c r="M43" s="136">
        <f t="shared" si="4"/>
        <v>0</v>
      </c>
      <c r="N43" s="136">
        <f t="shared" si="4"/>
        <v>216818.72000000003</v>
      </c>
      <c r="O43" s="136">
        <f t="shared" si="4"/>
        <v>1088026.0300000003</v>
      </c>
      <c r="P43" s="136">
        <f t="shared" si="4"/>
        <v>1170139.12</v>
      </c>
      <c r="Q43" s="136">
        <f t="shared" si="4"/>
        <v>134705.63000000006</v>
      </c>
      <c r="R43" s="136">
        <f t="shared" si="4"/>
        <v>125096705.63000001</v>
      </c>
      <c r="S43" s="136">
        <f>S23+S24+S25+S26+S27+S28+S29+S31+S33+S34+S35+S36+S37+S38+S39+S40</f>
        <v>0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19" ht="16.5" customHeight="1" thickBot="1">
      <c r="A44" s="141" t="s">
        <v>19</v>
      </c>
      <c r="B44" s="142" t="s">
        <v>23</v>
      </c>
      <c r="C44" s="142"/>
      <c r="D44" s="142"/>
      <c r="E44" s="142"/>
      <c r="F44" s="142"/>
      <c r="G44" s="20"/>
      <c r="H44" s="10"/>
      <c r="I44" s="10"/>
      <c r="J44" s="10"/>
      <c r="K44" s="10"/>
      <c r="L44" s="99"/>
      <c r="M44" s="10"/>
      <c r="N44" s="10"/>
      <c r="O44" s="10"/>
      <c r="P44" s="146"/>
      <c r="Q44" s="10"/>
      <c r="R44" s="147"/>
      <c r="S44" s="25"/>
    </row>
    <row r="45" spans="1:19" ht="69" customHeight="1">
      <c r="A45" s="144">
        <v>1</v>
      </c>
      <c r="B45" s="42" t="s">
        <v>23</v>
      </c>
      <c r="C45" s="145" t="s">
        <v>57</v>
      </c>
      <c r="D45" s="132" t="s">
        <v>58</v>
      </c>
      <c r="E45" s="17">
        <v>9000000</v>
      </c>
      <c r="F45" s="132" t="s">
        <v>63</v>
      </c>
      <c r="G45" s="133" t="s">
        <v>28</v>
      </c>
      <c r="H45" s="7">
        <v>9000000</v>
      </c>
      <c r="I45" s="159"/>
      <c r="J45" s="7">
        <v>9000000</v>
      </c>
      <c r="K45" s="6">
        <f>H45+I45-J45</f>
        <v>0</v>
      </c>
      <c r="L45" s="6">
        <f>K45</f>
        <v>0</v>
      </c>
      <c r="M45" s="3"/>
      <c r="N45" s="3">
        <v>0</v>
      </c>
      <c r="O45" s="3">
        <f>133767.12+120821.92-4315.07</f>
        <v>250273.96999999997</v>
      </c>
      <c r="P45" s="17">
        <f>133767.12+120821.92-4315.07</f>
        <v>250273.96999999997</v>
      </c>
      <c r="Q45" s="6">
        <f>N45+O45-P45</f>
        <v>0</v>
      </c>
      <c r="R45" s="6">
        <f>K45+N45+O45-P45</f>
        <v>0</v>
      </c>
      <c r="S45" s="25"/>
    </row>
    <row r="46" spans="1:19" ht="69" customHeight="1">
      <c r="A46" s="152">
        <v>2</v>
      </c>
      <c r="B46" s="42" t="s">
        <v>23</v>
      </c>
      <c r="C46" s="145" t="s">
        <v>61</v>
      </c>
      <c r="D46" s="132" t="s">
        <v>58</v>
      </c>
      <c r="E46" s="17">
        <v>5000000</v>
      </c>
      <c r="F46" s="132" t="s">
        <v>62</v>
      </c>
      <c r="G46" s="133" t="s">
        <v>28</v>
      </c>
      <c r="H46" s="7"/>
      <c r="I46" s="159"/>
      <c r="J46" s="7"/>
      <c r="K46" s="6">
        <f>H46+I46-J46</f>
        <v>0</v>
      </c>
      <c r="L46" s="6">
        <f>K46</f>
        <v>0</v>
      </c>
      <c r="M46" s="3"/>
      <c r="N46" s="3">
        <v>0</v>
      </c>
      <c r="O46" s="17"/>
      <c r="P46" s="17"/>
      <c r="Q46" s="6">
        <f>N46+O46-P46</f>
        <v>0</v>
      </c>
      <c r="R46" s="6">
        <f>K46+N46+O46-P46</f>
        <v>0</v>
      </c>
      <c r="S46" s="25"/>
    </row>
    <row r="47" spans="1:19" ht="69" customHeight="1">
      <c r="A47" s="152">
        <v>3</v>
      </c>
      <c r="B47" s="42" t="s">
        <v>23</v>
      </c>
      <c r="C47" s="145" t="s">
        <v>68</v>
      </c>
      <c r="D47" s="132" t="s">
        <v>58</v>
      </c>
      <c r="E47" s="17"/>
      <c r="F47" s="132" t="s">
        <v>80</v>
      </c>
      <c r="G47" s="133" t="s">
        <v>28</v>
      </c>
      <c r="H47" s="159">
        <v>10000000</v>
      </c>
      <c r="I47" s="159"/>
      <c r="J47" s="159">
        <v>10000000</v>
      </c>
      <c r="K47" s="6">
        <f>H47+I47-J47</f>
        <v>0</v>
      </c>
      <c r="L47" s="6">
        <f>K47</f>
        <v>0</v>
      </c>
      <c r="M47" s="3"/>
      <c r="N47" s="3">
        <v>0</v>
      </c>
      <c r="O47" s="3">
        <f>148630.14+134246.58</f>
        <v>282876.72</v>
      </c>
      <c r="P47" s="17">
        <f>148630.14+134246.58</f>
        <v>282876.72</v>
      </c>
      <c r="Q47" s="6">
        <f>N47+O47-P47</f>
        <v>0</v>
      </c>
      <c r="R47" s="6">
        <f>K47+N47+O47-P47</f>
        <v>0</v>
      </c>
      <c r="S47" s="25"/>
    </row>
    <row r="48" spans="1:19" ht="69" customHeight="1">
      <c r="A48" s="152">
        <v>4</v>
      </c>
      <c r="B48" s="42" t="s">
        <v>23</v>
      </c>
      <c r="C48" s="145" t="s">
        <v>77</v>
      </c>
      <c r="D48" s="132" t="s">
        <v>58</v>
      </c>
      <c r="E48" s="17"/>
      <c r="F48" s="158">
        <v>43439</v>
      </c>
      <c r="G48" s="133"/>
      <c r="H48" s="159">
        <v>8000000</v>
      </c>
      <c r="I48" s="159"/>
      <c r="J48" s="159">
        <v>8000000</v>
      </c>
      <c r="K48" s="6">
        <f>H48+I48-J48</f>
        <v>0</v>
      </c>
      <c r="L48" s="6">
        <f>K48</f>
        <v>0</v>
      </c>
      <c r="M48" s="3"/>
      <c r="N48" s="3"/>
      <c r="O48" s="3">
        <f>105315.07+95123.29</f>
        <v>200438.36</v>
      </c>
      <c r="P48" s="17">
        <f>105315.07+95123.29</f>
        <v>200438.36</v>
      </c>
      <c r="Q48" s="6">
        <f>N48+O48-P48</f>
        <v>0</v>
      </c>
      <c r="R48" s="6">
        <f>K48+N48+O48-P48</f>
        <v>0</v>
      </c>
      <c r="S48" s="25"/>
    </row>
    <row r="49" spans="1:19" ht="16.5" customHeight="1" thickBot="1">
      <c r="A49" s="95" t="s">
        <v>21</v>
      </c>
      <c r="B49" s="143"/>
      <c r="C49" s="143"/>
      <c r="D49" s="14"/>
      <c r="E49" s="14"/>
      <c r="F49" s="14"/>
      <c r="G49" s="14"/>
      <c r="H49" s="4">
        <f>H45+H46+H47+H48</f>
        <v>27000000</v>
      </c>
      <c r="I49" s="4">
        <f aca="true" t="shared" si="5" ref="I49:R49">I45+I46+I47+I48</f>
        <v>0</v>
      </c>
      <c r="J49" s="4">
        <f t="shared" si="5"/>
        <v>27000000</v>
      </c>
      <c r="K49" s="1">
        <f t="shared" si="5"/>
        <v>0</v>
      </c>
      <c r="L49" s="1">
        <f t="shared" si="5"/>
        <v>0</v>
      </c>
      <c r="M49" s="1">
        <f t="shared" si="5"/>
        <v>0</v>
      </c>
      <c r="N49" s="1">
        <f t="shared" si="5"/>
        <v>0</v>
      </c>
      <c r="O49" s="1">
        <f t="shared" si="5"/>
        <v>733589.0499999999</v>
      </c>
      <c r="P49" s="1">
        <f t="shared" si="5"/>
        <v>733589.0499999999</v>
      </c>
      <c r="Q49" s="1">
        <f t="shared" si="5"/>
        <v>0</v>
      </c>
      <c r="R49" s="1">
        <f t="shared" si="5"/>
        <v>0</v>
      </c>
      <c r="S49" s="1">
        <f>S45+S46+S47</f>
        <v>0</v>
      </c>
    </row>
    <row r="50" spans="1:35" s="83" customFormat="1" ht="18" customHeight="1" thickBot="1">
      <c r="A50" s="101" t="s">
        <v>5</v>
      </c>
      <c r="B50" s="102" t="s">
        <v>22</v>
      </c>
      <c r="C50" s="102"/>
      <c r="D50" s="148"/>
      <c r="E50" s="148"/>
      <c r="F50" s="148"/>
      <c r="G50" s="148"/>
      <c r="H50" s="148"/>
      <c r="I50" s="143"/>
      <c r="J50" s="143"/>
      <c r="K50" s="143"/>
      <c r="L50" s="143"/>
      <c r="M50" s="143"/>
      <c r="N50" s="143"/>
      <c r="O50" s="143"/>
      <c r="P50" s="151"/>
      <c r="Q50" s="143"/>
      <c r="R50" s="149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s="83" customFormat="1" ht="69.75" customHeight="1" hidden="1">
      <c r="A51" s="101"/>
      <c r="B51" s="103"/>
      <c r="C51" s="104"/>
      <c r="D51" s="104"/>
      <c r="E51" s="105"/>
      <c r="F51" s="104"/>
      <c r="G51" s="46"/>
      <c r="H51" s="62"/>
      <c r="I51" s="62"/>
      <c r="J51" s="33"/>
      <c r="K51" s="62"/>
      <c r="L51" s="32"/>
      <c r="M51" s="21"/>
      <c r="N51" s="21"/>
      <c r="O51" s="21"/>
      <c r="P51" s="150"/>
      <c r="Q51" s="62"/>
      <c r="R51" s="62"/>
      <c r="S51" s="82"/>
      <c r="T51" s="106"/>
      <c r="U51" s="106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35" s="83" customFormat="1" ht="18" customHeight="1" thickBot="1">
      <c r="A52" s="107" t="s">
        <v>21</v>
      </c>
      <c r="B52" s="108"/>
      <c r="C52" s="109"/>
      <c r="D52" s="109"/>
      <c r="E52" s="110"/>
      <c r="F52" s="111"/>
      <c r="G52" s="104"/>
      <c r="H52" s="34">
        <f>H51</f>
        <v>0</v>
      </c>
      <c r="I52" s="34">
        <f>I51</f>
        <v>0</v>
      </c>
      <c r="J52" s="34">
        <f>J51</f>
        <v>0</v>
      </c>
      <c r="K52" s="34">
        <f>K51</f>
        <v>0</v>
      </c>
      <c r="L52" s="34">
        <f>L51</f>
        <v>0</v>
      </c>
      <c r="M52" s="22">
        <v>3</v>
      </c>
      <c r="N52" s="22">
        <v>0</v>
      </c>
      <c r="O52" s="22">
        <v>0</v>
      </c>
      <c r="P52" s="22">
        <v>0</v>
      </c>
      <c r="Q52" s="34">
        <f>K52</f>
        <v>0</v>
      </c>
      <c r="R52" s="34">
        <f>Q52</f>
        <v>0</v>
      </c>
      <c r="S52" s="82"/>
      <c r="T52" s="11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</row>
    <row r="53" spans="1:20" ht="16.5" customHeight="1" thickBot="1">
      <c r="A53" s="113"/>
      <c r="B53" s="20" t="s">
        <v>16</v>
      </c>
      <c r="C53" s="19"/>
      <c r="D53" s="19"/>
      <c r="E53" s="19"/>
      <c r="F53" s="100"/>
      <c r="G53" s="114"/>
      <c r="H53" s="23">
        <f>H43+H51+H49</f>
        <v>134985000</v>
      </c>
      <c r="I53" s="23">
        <f aca="true" t="shared" si="6" ref="I53:R53">I43+I51+I49</f>
        <v>20000000</v>
      </c>
      <c r="J53" s="23">
        <f t="shared" si="6"/>
        <v>30023000</v>
      </c>
      <c r="K53" s="23">
        <f>K43+K51+K49</f>
        <v>124962000</v>
      </c>
      <c r="L53" s="23">
        <f t="shared" si="6"/>
        <v>124962000</v>
      </c>
      <c r="M53" s="23">
        <f t="shared" si="6"/>
        <v>0</v>
      </c>
      <c r="N53" s="23">
        <f t="shared" si="6"/>
        <v>216818.72000000003</v>
      </c>
      <c r="O53" s="23">
        <f t="shared" si="6"/>
        <v>1821615.08</v>
      </c>
      <c r="P53" s="23">
        <f t="shared" si="6"/>
        <v>1903728.17</v>
      </c>
      <c r="Q53" s="23">
        <f t="shared" si="6"/>
        <v>134705.63000000006</v>
      </c>
      <c r="R53" s="23">
        <f t="shared" si="6"/>
        <v>125096705.63000001</v>
      </c>
      <c r="S53" s="25"/>
      <c r="T53" s="115"/>
    </row>
    <row r="54" spans="1:19" ht="16.5" customHeight="1">
      <c r="A54" s="25"/>
      <c r="B54" s="82"/>
      <c r="C54" s="10"/>
      <c r="D54" s="10"/>
      <c r="E54" s="10"/>
      <c r="F54" s="10"/>
      <c r="G54" s="10"/>
      <c r="H54" s="24"/>
      <c r="I54" s="24"/>
      <c r="J54" s="24"/>
      <c r="K54" s="24"/>
      <c r="L54" s="24"/>
      <c r="M54" s="40"/>
      <c r="N54" s="24"/>
      <c r="O54" s="24"/>
      <c r="P54" s="24"/>
      <c r="Q54" s="24"/>
      <c r="R54" s="24"/>
      <c r="S54" s="25"/>
    </row>
    <row r="55" spans="1:19" ht="16.5" customHeight="1">
      <c r="A55" s="25"/>
      <c r="B55" s="10" t="s">
        <v>36</v>
      </c>
      <c r="C55" s="10"/>
      <c r="D55" s="10"/>
      <c r="E55" s="10"/>
      <c r="F55" s="10"/>
      <c r="G55" s="10"/>
      <c r="H55" s="24" t="s">
        <v>45</v>
      </c>
      <c r="I55" s="24"/>
      <c r="J55" s="24"/>
      <c r="K55" s="24"/>
      <c r="L55" s="24"/>
      <c r="M55" s="40"/>
      <c r="N55" s="24"/>
      <c r="O55" s="24"/>
      <c r="P55" s="40"/>
      <c r="Q55" s="24"/>
      <c r="R55" s="24"/>
      <c r="S55" s="25"/>
    </row>
    <row r="56" spans="1:19" ht="16.5" customHeight="1">
      <c r="A56" s="2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4"/>
      <c r="Q56" s="10"/>
      <c r="R56" s="10"/>
      <c r="S56" s="25"/>
    </row>
    <row r="57" spans="1:19" ht="15.75" customHeight="1">
      <c r="A57" s="25"/>
      <c r="B57" s="10" t="s">
        <v>27</v>
      </c>
      <c r="C57" s="10"/>
      <c r="D57" s="116"/>
      <c r="E57" s="117"/>
      <c r="F57" s="117"/>
      <c r="G57" s="117"/>
      <c r="H57" s="35" t="s">
        <v>67</v>
      </c>
      <c r="I57" s="35"/>
      <c r="J57" s="35"/>
      <c r="K57" s="35"/>
      <c r="L57" s="35"/>
      <c r="M57" s="10"/>
      <c r="N57" s="10"/>
      <c r="O57" s="10"/>
      <c r="P57" s="10"/>
      <c r="Q57" s="10"/>
      <c r="R57" s="10"/>
      <c r="S57" s="25"/>
    </row>
    <row r="58" spans="1:19" ht="15.75" customHeight="1">
      <c r="A58" s="25"/>
      <c r="B58" s="10" t="s">
        <v>26</v>
      </c>
      <c r="C58" s="10"/>
      <c r="D58" s="116"/>
      <c r="E58" s="117"/>
      <c r="F58" s="117"/>
      <c r="G58" s="117"/>
      <c r="H58" s="35"/>
      <c r="I58" s="35"/>
      <c r="J58" s="35"/>
      <c r="K58" s="118"/>
      <c r="L58" s="118"/>
      <c r="M58" s="10"/>
      <c r="N58" s="10"/>
      <c r="O58" s="10"/>
      <c r="P58" s="10"/>
      <c r="Q58" s="10"/>
      <c r="R58" s="10"/>
      <c r="S58" s="25"/>
    </row>
    <row r="59" spans="1:19" ht="12.75">
      <c r="A59" s="25"/>
      <c r="B59" s="10"/>
      <c r="C59" s="10"/>
      <c r="D59" s="39"/>
      <c r="E59" s="10"/>
      <c r="F59" s="10"/>
      <c r="G59" s="10"/>
      <c r="H59" s="36"/>
      <c r="I59" s="36"/>
      <c r="J59" s="36"/>
      <c r="K59" s="36"/>
      <c r="L59" s="36"/>
      <c r="M59" s="10"/>
      <c r="N59" s="10"/>
      <c r="O59" s="10"/>
      <c r="P59" s="10"/>
      <c r="Q59" s="10"/>
      <c r="R59" s="10"/>
      <c r="S59" s="25"/>
    </row>
    <row r="60" spans="1:19" ht="0.75" customHeight="1">
      <c r="A60" s="25"/>
      <c r="B60" s="10"/>
      <c r="C60" s="10"/>
      <c r="D60" s="39"/>
      <c r="E60" s="10"/>
      <c r="F60" s="10"/>
      <c r="G60" s="10"/>
      <c r="H60" s="119"/>
      <c r="I60" s="36"/>
      <c r="J60" s="36"/>
      <c r="K60" s="36"/>
      <c r="L60" s="36"/>
      <c r="M60" s="10"/>
      <c r="N60" s="10"/>
      <c r="O60" s="10"/>
      <c r="P60" s="10"/>
      <c r="Q60" s="10"/>
      <c r="R60" s="10"/>
      <c r="S60" s="25"/>
    </row>
    <row r="61" spans="1:19" ht="14.25" customHeight="1" hidden="1">
      <c r="A61" s="25"/>
      <c r="B61" s="10"/>
      <c r="C61" s="10"/>
      <c r="D61" s="39"/>
      <c r="E61" s="10"/>
      <c r="F61" s="10"/>
      <c r="G61" s="10"/>
      <c r="H61" s="36"/>
      <c r="I61" s="36"/>
      <c r="J61" s="36"/>
      <c r="K61" s="36"/>
      <c r="L61" s="36"/>
      <c r="M61" s="10"/>
      <c r="N61" s="10"/>
      <c r="O61" s="10"/>
      <c r="P61" s="10"/>
      <c r="Q61" s="10"/>
      <c r="R61" s="10"/>
      <c r="S61" s="25"/>
    </row>
    <row r="62" spans="1:19" ht="13.5" customHeight="1" hidden="1">
      <c r="A62" s="25"/>
      <c r="B62" s="10"/>
      <c r="C62" s="10"/>
      <c r="D62" s="10"/>
      <c r="E62" s="10"/>
      <c r="F62" s="10"/>
      <c r="G62" s="10"/>
      <c r="H62" s="37"/>
      <c r="I62" s="37"/>
      <c r="J62" s="37"/>
      <c r="K62" s="37"/>
      <c r="L62" s="37"/>
      <c r="M62" s="10"/>
      <c r="N62" s="10"/>
      <c r="O62" s="10"/>
      <c r="P62" s="10"/>
      <c r="Q62" s="10"/>
      <c r="R62" s="10"/>
      <c r="S62" s="25"/>
    </row>
    <row r="63" spans="2:18" s="25" customFormat="1" ht="12.75" customHeight="1">
      <c r="B63" s="10" t="s">
        <v>14</v>
      </c>
      <c r="C63" s="39"/>
      <c r="D63" s="120"/>
      <c r="E63" s="121"/>
      <c r="F63" s="10"/>
      <c r="G63" s="10"/>
      <c r="H63" s="37"/>
      <c r="I63" s="37"/>
      <c r="J63" s="37"/>
      <c r="K63" s="37"/>
      <c r="L63" s="37"/>
      <c r="M63" s="10"/>
      <c r="N63" s="10"/>
      <c r="O63" s="10"/>
      <c r="P63" s="10"/>
      <c r="Q63" s="10"/>
      <c r="R63" s="10"/>
    </row>
    <row r="64" spans="1:18" s="25" customFormat="1" ht="9.75" customHeight="1">
      <c r="A64" s="122"/>
      <c r="B64" s="123" t="s">
        <v>20</v>
      </c>
      <c r="C64" s="10"/>
      <c r="D64" s="10"/>
      <c r="E64" s="124"/>
      <c r="F64" s="124"/>
      <c r="G64" s="125"/>
      <c r="H64" s="38"/>
      <c r="I64" s="38"/>
      <c r="J64" s="38"/>
      <c r="K64" s="38"/>
      <c r="L64" s="38"/>
      <c r="M64" s="10"/>
      <c r="N64" s="10"/>
      <c r="O64" s="10"/>
      <c r="P64" s="10"/>
      <c r="Q64" s="10"/>
      <c r="R64" s="10"/>
    </row>
    <row r="65" spans="2:18" s="25" customFormat="1" ht="12.75">
      <c r="B65" s="39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38"/>
      <c r="G68" s="38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38"/>
      <c r="F69" s="126"/>
      <c r="G69" s="126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2"/>
      <c r="B70" s="122"/>
      <c r="C70" s="127"/>
      <c r="D70" s="127"/>
      <c r="E70" s="127"/>
      <c r="F70" s="127"/>
      <c r="G70" s="127"/>
      <c r="H70" s="39"/>
      <c r="I70" s="39"/>
      <c r="J70" s="39"/>
      <c r="K70" s="39"/>
      <c r="L70" s="39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38"/>
      <c r="F71" s="38"/>
      <c r="G71" s="38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38"/>
      <c r="F72" s="38"/>
      <c r="G72" s="38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38"/>
      <c r="F73" s="38"/>
      <c r="G73" s="38"/>
      <c r="H73" s="35"/>
      <c r="I73" s="35"/>
      <c r="J73" s="35"/>
      <c r="K73" s="35"/>
      <c r="L73" s="35"/>
      <c r="M73" s="10"/>
      <c r="N73" s="10"/>
      <c r="O73" s="10"/>
      <c r="P73" s="10"/>
      <c r="Q73" s="10"/>
      <c r="R73" s="10"/>
    </row>
    <row r="74" spans="1:18" s="25" customFormat="1" ht="18.75">
      <c r="A74" s="128"/>
      <c r="B74" s="10"/>
      <c r="C74" s="10"/>
      <c r="D74" s="10"/>
      <c r="E74" s="125"/>
      <c r="F74" s="125"/>
      <c r="G74" s="125"/>
      <c r="H74" s="38"/>
      <c r="I74" s="38"/>
      <c r="J74" s="38"/>
      <c r="K74" s="38"/>
      <c r="L74" s="38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16"/>
      <c r="E75" s="117"/>
      <c r="F75" s="129"/>
      <c r="G75" s="129"/>
      <c r="H75" s="35"/>
      <c r="I75" s="35"/>
      <c r="J75" s="35"/>
      <c r="K75" s="35"/>
      <c r="L75" s="35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29"/>
      <c r="G76" s="129"/>
      <c r="H76" s="35"/>
      <c r="I76" s="35"/>
      <c r="J76" s="35"/>
      <c r="K76" s="35"/>
      <c r="L76" s="35"/>
      <c r="M76" s="10"/>
      <c r="N76" s="10"/>
      <c r="O76" s="10"/>
      <c r="P76" s="10"/>
      <c r="Q76" s="10"/>
      <c r="R76" s="10"/>
    </row>
    <row r="77" spans="2:18" s="25" customFormat="1" ht="12.75">
      <c r="B77" s="10"/>
      <c r="C77" s="10"/>
      <c r="D77" s="116"/>
      <c r="E77" s="117"/>
      <c r="F77" s="129"/>
      <c r="G77" s="129"/>
      <c r="H77" s="35"/>
      <c r="I77" s="35"/>
      <c r="J77" s="35"/>
      <c r="K77" s="35"/>
      <c r="L77" s="35"/>
      <c r="M77" s="10"/>
      <c r="N77" s="10"/>
      <c r="O77" s="10"/>
      <c r="P77" s="10"/>
      <c r="Q77" s="10"/>
      <c r="R77" s="10"/>
    </row>
    <row r="78" spans="1:18" s="25" customFormat="1" ht="18.75">
      <c r="A78" s="122"/>
      <c r="B78" s="122"/>
      <c r="C78" s="122"/>
      <c r="D78" s="122"/>
      <c r="E78" s="122"/>
      <c r="F78" s="122"/>
      <c r="G78" s="130"/>
      <c r="H78" s="131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 s="25" customFormat="1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 s="25" customFormat="1" ht="12.75">
      <c r="B80" s="10"/>
      <c r="C80" s="10"/>
      <c r="D80" s="116"/>
      <c r="E80" s="117"/>
      <c r="F80" s="117"/>
      <c r="G80" s="117"/>
      <c r="H80" s="35"/>
      <c r="I80" s="35"/>
      <c r="J80" s="35"/>
      <c r="K80" s="118"/>
      <c r="L80" s="118"/>
      <c r="M80" s="10"/>
      <c r="N80" s="10"/>
      <c r="O80" s="10"/>
      <c r="P80" s="10"/>
      <c r="Q80" s="10"/>
      <c r="R80" s="10"/>
    </row>
    <row r="81" spans="2:18" s="25" customFormat="1" ht="12.75">
      <c r="B81" s="10"/>
      <c r="C81" s="10"/>
      <c r="D81" s="39"/>
      <c r="E81" s="10"/>
      <c r="F81" s="10"/>
      <c r="G81" s="10"/>
      <c r="H81" s="36"/>
      <c r="I81" s="36"/>
      <c r="J81" s="36"/>
      <c r="K81" s="36"/>
      <c r="L81" s="36"/>
      <c r="M81" s="10"/>
      <c r="N81" s="10"/>
      <c r="O81" s="10"/>
      <c r="Q81" s="10"/>
      <c r="R81" s="10"/>
    </row>
    <row r="82" s="25" customFormat="1" ht="12.75">
      <c r="P82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83"/>
  <sheetViews>
    <sheetView zoomScalePageLayoutView="0" workbookViewId="0" topLeftCell="D6">
      <pane ySplit="3195" topLeftCell="A1" activePane="bottomLeft" state="split"/>
      <selection pane="topLeft" activeCell="A6" sqref="A6"/>
      <selection pane="bottomLeft" activeCell="Q43" sqref="Q43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hidden="1" customWidth="1"/>
    <col min="21" max="21" width="12.875" style="8" hidden="1" customWidth="1"/>
    <col min="22" max="22" width="11.75390625" style="8" hidden="1" customWidth="1"/>
    <col min="23" max="48" width="0" style="8" hidden="1" customWidth="1"/>
    <col min="49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115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81</v>
      </c>
      <c r="I8" s="11" t="s">
        <v>116</v>
      </c>
      <c r="J8" s="11" t="s">
        <v>117</v>
      </c>
      <c r="K8" s="11" t="s">
        <v>118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49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8">H23+I23-J23</f>
        <v>0</v>
      </c>
      <c r="L23" s="47">
        <f aca="true" t="shared" si="1" ref="L23:L38">K23</f>
        <v>0</v>
      </c>
      <c r="M23" s="7"/>
      <c r="N23" s="7"/>
      <c r="O23" s="5"/>
      <c r="P23" s="7"/>
      <c r="Q23" s="6">
        <f aca="true" t="shared" si="2" ref="Q23:Q38">N23+O23-P23</f>
        <v>0</v>
      </c>
      <c r="R23" s="48">
        <f aca="true" t="shared" si="3" ref="R23:R38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37</v>
      </c>
      <c r="D24" s="52" t="s">
        <v>34</v>
      </c>
      <c r="E24" s="44">
        <v>1600000</v>
      </c>
      <c r="F24" s="45" t="s">
        <v>35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38</v>
      </c>
      <c r="D25" s="52" t="s">
        <v>34</v>
      </c>
      <c r="E25" s="44">
        <v>15000000</v>
      </c>
      <c r="F25" s="183" t="s">
        <v>65</v>
      </c>
      <c r="G25" s="46" t="s">
        <v>28</v>
      </c>
      <c r="H25" s="32">
        <v>839000</v>
      </c>
      <c r="I25" s="32"/>
      <c r="J25" s="32">
        <f>120000+120000+120000+120000+120000+120000+119000</f>
        <v>839000</v>
      </c>
      <c r="K25" s="53">
        <f t="shared" si="0"/>
        <v>0</v>
      </c>
      <c r="L25" s="47">
        <f t="shared" si="1"/>
        <v>0</v>
      </c>
      <c r="M25" s="7"/>
      <c r="N25" s="7">
        <v>71.06</v>
      </c>
      <c r="O25" s="181">
        <f>63.04+52.2+45.62+35.1+25.56+14.71+5.87</f>
        <v>242.10000000000002</v>
      </c>
      <c r="P25" s="7">
        <f>71.06+63.04+52.2+45.62+35.1+25.56+14.71+5.87</f>
        <v>313.16</v>
      </c>
      <c r="Q25" s="6">
        <f t="shared" si="2"/>
        <v>0</v>
      </c>
      <c r="R25" s="48">
        <f t="shared" si="3"/>
        <v>0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39</v>
      </c>
      <c r="D26" s="52" t="s">
        <v>34</v>
      </c>
      <c r="E26" s="44">
        <v>6000000</v>
      </c>
      <c r="F26" s="183" t="s">
        <v>65</v>
      </c>
      <c r="G26" s="46" t="s">
        <v>28</v>
      </c>
      <c r="H26" s="32">
        <v>2184000</v>
      </c>
      <c r="I26" s="32"/>
      <c r="J26" s="32">
        <f>312000+312000+312000+312000+312000+312000+312000</f>
        <v>2184000</v>
      </c>
      <c r="K26" s="53">
        <f t="shared" si="0"/>
        <v>0</v>
      </c>
      <c r="L26" s="47">
        <f t="shared" si="1"/>
        <v>0</v>
      </c>
      <c r="M26" s="7"/>
      <c r="N26" s="7">
        <v>184.98</v>
      </c>
      <c r="O26" s="181">
        <f>164.12+135.92+118.82+91.47+66.67+38.46+15.39</f>
        <v>630.8499999999999</v>
      </c>
      <c r="P26" s="7">
        <f>184.98+164.12+135.92+118.82+91.47+66.67+38.46+15.39</f>
        <v>815.8299999999999</v>
      </c>
      <c r="Q26" s="6">
        <f t="shared" si="2"/>
        <v>0</v>
      </c>
      <c r="R26" s="48">
        <f t="shared" si="3"/>
        <v>0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41</v>
      </c>
      <c r="D27" s="52" t="s">
        <v>34</v>
      </c>
      <c r="E27" s="44">
        <v>11000000</v>
      </c>
      <c r="F27" s="183" t="s">
        <v>112</v>
      </c>
      <c r="G27" s="46" t="s">
        <v>28</v>
      </c>
      <c r="H27" s="32">
        <v>1650000</v>
      </c>
      <c r="I27" s="32"/>
      <c r="J27" s="32"/>
      <c r="K27" s="53">
        <f t="shared" si="0"/>
        <v>1650000</v>
      </c>
      <c r="L27" s="160">
        <f t="shared" si="1"/>
        <v>1650000</v>
      </c>
      <c r="M27" s="7"/>
      <c r="N27" s="7">
        <v>0</v>
      </c>
      <c r="O27" s="5"/>
      <c r="P27" s="7"/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43</v>
      </c>
      <c r="D28" s="52" t="s">
        <v>34</v>
      </c>
      <c r="E28" s="44">
        <v>10000000</v>
      </c>
      <c r="F28" s="183" t="s">
        <v>112</v>
      </c>
      <c r="G28" s="46" t="s">
        <v>28</v>
      </c>
      <c r="H28" s="32">
        <v>5450000</v>
      </c>
      <c r="I28" s="32"/>
      <c r="J28" s="32"/>
      <c r="K28" s="53">
        <f t="shared" si="0"/>
        <v>5450000</v>
      </c>
      <c r="L28" s="160">
        <f t="shared" si="1"/>
        <v>5450000</v>
      </c>
      <c r="M28" s="7"/>
      <c r="N28" s="7">
        <v>0</v>
      </c>
      <c r="O28" s="5"/>
      <c r="P28" s="7"/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46</v>
      </c>
      <c r="D29" s="52" t="s">
        <v>34</v>
      </c>
      <c r="E29" s="44">
        <v>10000000</v>
      </c>
      <c r="F29" s="183" t="s">
        <v>113</v>
      </c>
      <c r="G29" s="46" t="s">
        <v>28</v>
      </c>
      <c r="H29" s="32">
        <v>7107000</v>
      </c>
      <c r="I29" s="167">
        <f>-(5523000+1584000)</f>
        <v>-7107000</v>
      </c>
      <c r="J29" s="32"/>
      <c r="K29" s="53">
        <f t="shared" si="0"/>
        <v>0</v>
      </c>
      <c r="L29" s="160">
        <f t="shared" si="1"/>
        <v>0</v>
      </c>
      <c r="M29" s="7"/>
      <c r="N29" s="7">
        <v>4471.68</v>
      </c>
      <c r="O29" s="5">
        <f>4483.94</f>
        <v>4483.94</v>
      </c>
      <c r="P29" s="7">
        <f>4471.68+4483.94</f>
        <v>8955.619999999999</v>
      </c>
      <c r="Q29" s="6">
        <f t="shared" si="2"/>
        <v>0</v>
      </c>
      <c r="R29" s="48">
        <f t="shared" si="3"/>
        <v>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173" customFormat="1" ht="66.75" customHeight="1">
      <c r="A30" s="161"/>
      <c r="B30" s="162"/>
      <c r="C30" s="163" t="s">
        <v>104</v>
      </c>
      <c r="D30" s="163" t="s">
        <v>34</v>
      </c>
      <c r="E30" s="164"/>
      <c r="F30" s="183" t="s">
        <v>113</v>
      </c>
      <c r="G30" s="166"/>
      <c r="H30" s="167"/>
      <c r="I30" s="167">
        <v>5523000</v>
      </c>
      <c r="J30" s="167"/>
      <c r="K30" s="168">
        <f t="shared" si="0"/>
        <v>5523000</v>
      </c>
      <c r="L30" s="160">
        <f t="shared" si="1"/>
        <v>5523000</v>
      </c>
      <c r="M30" s="169"/>
      <c r="N30" s="169"/>
      <c r="O30" s="170"/>
      <c r="P30" s="169"/>
      <c r="Q30" s="6">
        <f t="shared" si="2"/>
        <v>0</v>
      </c>
      <c r="R30" s="48">
        <f t="shared" si="3"/>
        <v>5523000</v>
      </c>
      <c r="S30" s="171"/>
      <c r="T30" s="171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</row>
    <row r="31" spans="1:35" ht="66.75" customHeight="1">
      <c r="A31" s="50">
        <v>8</v>
      </c>
      <c r="B31" s="42" t="s">
        <v>15</v>
      </c>
      <c r="C31" s="52" t="s">
        <v>48</v>
      </c>
      <c r="D31" s="52" t="s">
        <v>34</v>
      </c>
      <c r="E31" s="44">
        <v>7000000</v>
      </c>
      <c r="F31" s="183"/>
      <c r="G31" s="46" t="s">
        <v>28</v>
      </c>
      <c r="H31" s="32">
        <v>5055000</v>
      </c>
      <c r="I31" s="167">
        <f>-(2723000+2332000)</f>
        <v>-5055000</v>
      </c>
      <c r="J31" s="32"/>
      <c r="K31" s="53">
        <f t="shared" si="0"/>
        <v>0</v>
      </c>
      <c r="L31" s="160">
        <f t="shared" si="1"/>
        <v>0</v>
      </c>
      <c r="M31" s="7"/>
      <c r="N31" s="7">
        <v>6583.31</v>
      </c>
      <c r="O31" s="5">
        <f>6601.35</f>
        <v>6601.35</v>
      </c>
      <c r="P31" s="7">
        <f>6583.31+6601.35</f>
        <v>13184.66</v>
      </c>
      <c r="Q31" s="6">
        <f t="shared" si="2"/>
        <v>0</v>
      </c>
      <c r="R31" s="48">
        <f t="shared" si="3"/>
        <v>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173" customFormat="1" ht="66.75" customHeight="1">
      <c r="A32" s="161"/>
      <c r="B32" s="162"/>
      <c r="C32" s="163" t="s">
        <v>103</v>
      </c>
      <c r="D32" s="163"/>
      <c r="E32" s="164"/>
      <c r="F32" s="183" t="s">
        <v>113</v>
      </c>
      <c r="G32" s="166"/>
      <c r="H32" s="167"/>
      <c r="I32" s="167">
        <v>2723000</v>
      </c>
      <c r="J32" s="167"/>
      <c r="K32" s="168">
        <f t="shared" si="0"/>
        <v>2723000</v>
      </c>
      <c r="L32" s="160">
        <f t="shared" si="1"/>
        <v>2723000</v>
      </c>
      <c r="M32" s="169"/>
      <c r="N32" s="169"/>
      <c r="O32" s="170"/>
      <c r="P32" s="169"/>
      <c r="Q32" s="6">
        <f t="shared" si="2"/>
        <v>0</v>
      </c>
      <c r="R32" s="48">
        <f t="shared" si="3"/>
        <v>2723000</v>
      </c>
      <c r="S32" s="171"/>
      <c r="T32" s="171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</row>
    <row r="33" spans="1:35" ht="66.75" customHeight="1">
      <c r="A33" s="50">
        <v>9</v>
      </c>
      <c r="B33" s="42" t="s">
        <v>15</v>
      </c>
      <c r="C33" s="52" t="s">
        <v>50</v>
      </c>
      <c r="D33" s="52" t="s">
        <v>34</v>
      </c>
      <c r="E33" s="44">
        <v>6000000</v>
      </c>
      <c r="F33" s="183">
        <v>42972</v>
      </c>
      <c r="G33" s="46" t="s">
        <v>28</v>
      </c>
      <c r="H33" s="32">
        <v>6000000</v>
      </c>
      <c r="I33" s="32">
        <v>-6000000</v>
      </c>
      <c r="J33" s="32"/>
      <c r="K33" s="53">
        <f t="shared" si="0"/>
        <v>0</v>
      </c>
      <c r="L33" s="160">
        <f t="shared" si="1"/>
        <v>0</v>
      </c>
      <c r="M33" s="7"/>
      <c r="N33" s="7">
        <v>16938.2</v>
      </c>
      <c r="O33" s="5">
        <f>16984.6</f>
        <v>16984.6</v>
      </c>
      <c r="P33" s="94">
        <f>16938.2+16984.6</f>
        <v>33922.8</v>
      </c>
      <c r="Q33" s="6">
        <f t="shared" si="2"/>
        <v>0</v>
      </c>
      <c r="R33" s="48">
        <f t="shared" si="3"/>
        <v>0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50">
        <v>10</v>
      </c>
      <c r="B34" s="132" t="s">
        <v>15</v>
      </c>
      <c r="C34" s="43" t="s">
        <v>52</v>
      </c>
      <c r="D34" s="43" t="s">
        <v>34</v>
      </c>
      <c r="E34" s="2">
        <v>10000000</v>
      </c>
      <c r="F34" s="184">
        <v>43064</v>
      </c>
      <c r="G34" s="133" t="s">
        <v>28</v>
      </c>
      <c r="H34" s="6">
        <v>10000000</v>
      </c>
      <c r="I34" s="6">
        <v>-10000000</v>
      </c>
      <c r="J34" s="6"/>
      <c r="K34" s="47">
        <f t="shared" si="0"/>
        <v>0</v>
      </c>
      <c r="L34" s="160">
        <f t="shared" si="1"/>
        <v>0</v>
      </c>
      <c r="M34" s="7"/>
      <c r="N34" s="7">
        <v>28230.33</v>
      </c>
      <c r="O34" s="134">
        <f>28307.67</f>
        <v>28307.67</v>
      </c>
      <c r="P34" s="135">
        <f>28230.33+28307.67</f>
        <v>56538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41">
        <v>11</v>
      </c>
      <c r="B35" s="132" t="s">
        <v>15</v>
      </c>
      <c r="C35" s="52" t="s">
        <v>55</v>
      </c>
      <c r="D35" s="43" t="s">
        <v>34</v>
      </c>
      <c r="E35" s="44">
        <v>10000000</v>
      </c>
      <c r="F35" s="183">
        <v>43240</v>
      </c>
      <c r="G35" s="133" t="s">
        <v>28</v>
      </c>
      <c r="H35" s="32">
        <v>10000000</v>
      </c>
      <c r="I35" s="44"/>
      <c r="J35" s="32"/>
      <c r="K35" s="47">
        <f t="shared" si="0"/>
        <v>10000000</v>
      </c>
      <c r="L35" s="47">
        <f t="shared" si="1"/>
        <v>10000000</v>
      </c>
      <c r="M35" s="4"/>
      <c r="N35" s="4">
        <v>28230.33</v>
      </c>
      <c r="O35" s="181">
        <f>28307.67+25568.22+28193.97+26712.33+26230.14+8699.18+25479.45+25479.45</f>
        <v>194670.41000000003</v>
      </c>
      <c r="P35" s="94">
        <f>28230.33+28307.67+25568.22+28193.97+26712.33+26230.14+8699.18+25479.45</f>
        <v>197421.29000000004</v>
      </c>
      <c r="Q35" s="6">
        <f t="shared" si="2"/>
        <v>25479.45000000001</v>
      </c>
      <c r="R35" s="48">
        <f t="shared" si="3"/>
        <v>10025479.45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41">
        <v>12</v>
      </c>
      <c r="B36" s="132" t="s">
        <v>15</v>
      </c>
      <c r="C36" s="52" t="s">
        <v>56</v>
      </c>
      <c r="D36" s="43" t="s">
        <v>34</v>
      </c>
      <c r="E36" s="44">
        <v>15000000</v>
      </c>
      <c r="F36" s="45">
        <v>42359</v>
      </c>
      <c r="G36" s="46" t="s">
        <v>28</v>
      </c>
      <c r="H36" s="32">
        <v>0</v>
      </c>
      <c r="I36" s="44"/>
      <c r="J36" s="32"/>
      <c r="K36" s="53">
        <f t="shared" si="0"/>
        <v>0</v>
      </c>
      <c r="L36" s="53">
        <f t="shared" si="1"/>
        <v>0</v>
      </c>
      <c r="M36" s="4"/>
      <c r="N36" s="4"/>
      <c r="O36" s="5">
        <v>0</v>
      </c>
      <c r="P36" s="94"/>
      <c r="Q36" s="6"/>
      <c r="R36" s="48">
        <f t="shared" si="3"/>
        <v>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>
        <v>13</v>
      </c>
      <c r="B37" s="42" t="s">
        <v>15</v>
      </c>
      <c r="C37" s="52" t="s">
        <v>59</v>
      </c>
      <c r="D37" s="52" t="s">
        <v>34</v>
      </c>
      <c r="E37" s="44">
        <v>65000</v>
      </c>
      <c r="F37" s="183" t="s">
        <v>60</v>
      </c>
      <c r="G37" s="46" t="s">
        <v>28</v>
      </c>
      <c r="H37" s="138">
        <v>6500000</v>
      </c>
      <c r="I37" s="137"/>
      <c r="J37" s="138"/>
      <c r="K37" s="53">
        <f t="shared" si="0"/>
        <v>6500000</v>
      </c>
      <c r="L37" s="53">
        <f t="shared" si="1"/>
        <v>6500000</v>
      </c>
      <c r="M37" s="139"/>
      <c r="N37" s="139">
        <v>18349.71</v>
      </c>
      <c r="O37" s="181">
        <f>18399.99+16619.34+18326.09+17363.01+17049.59+16293.45+16561.64+16561.64</f>
        <v>137174.75</v>
      </c>
      <c r="P37" s="140">
        <f>18349.71+18399.99+16619.34+18326.09+17363.01+17049.59+16293.45+16561.64</f>
        <v>138962.81999999998</v>
      </c>
      <c r="Q37" s="32">
        <f t="shared" si="2"/>
        <v>16561.640000000014</v>
      </c>
      <c r="R37" s="32">
        <f t="shared" si="3"/>
        <v>6516561.64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>
        <v>14</v>
      </c>
      <c r="B38" s="42" t="s">
        <v>15</v>
      </c>
      <c r="C38" s="52" t="s">
        <v>64</v>
      </c>
      <c r="D38" s="52" t="s">
        <v>34</v>
      </c>
      <c r="E38" s="44">
        <v>12400000</v>
      </c>
      <c r="F38" s="183" t="s">
        <v>114</v>
      </c>
      <c r="G38" s="46" t="s">
        <v>28</v>
      </c>
      <c r="H38" s="138">
        <v>12400000</v>
      </c>
      <c r="I38" s="137"/>
      <c r="J38" s="138"/>
      <c r="K38" s="153">
        <f t="shared" si="0"/>
        <v>12400000</v>
      </c>
      <c r="L38" s="153">
        <f t="shared" si="1"/>
        <v>12400000</v>
      </c>
      <c r="M38" s="139"/>
      <c r="N38" s="139">
        <v>35005.61</v>
      </c>
      <c r="O38" s="182">
        <f>35101.51+31704.59+35073.32+33010.5+32525.37+31082.9+31594.52+31594.52</f>
        <v>261687.22999999998</v>
      </c>
      <c r="P38" s="140">
        <f>35005.61+35101.51+31704.59+35073.32+33010.5+32525.37+31082.9+31594.52</f>
        <v>265098.32</v>
      </c>
      <c r="Q38" s="32">
        <f t="shared" si="2"/>
        <v>31594.51999999996</v>
      </c>
      <c r="R38" s="32">
        <f t="shared" si="3"/>
        <v>12431594.52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66.75" customHeight="1">
      <c r="A39" s="50"/>
      <c r="B39" s="42" t="s">
        <v>15</v>
      </c>
      <c r="C39" s="52" t="s">
        <v>70</v>
      </c>
      <c r="D39" s="52" t="s">
        <v>34</v>
      </c>
      <c r="E39" s="44">
        <v>24800000</v>
      </c>
      <c r="F39" s="183" t="s">
        <v>71</v>
      </c>
      <c r="G39" s="46" t="s">
        <v>28</v>
      </c>
      <c r="H39" s="138">
        <v>24800000</v>
      </c>
      <c r="I39" s="174">
        <f>-(5756000+7084000)</f>
        <v>-12840000</v>
      </c>
      <c r="J39" s="138"/>
      <c r="K39" s="153">
        <f>H39+I39-J39</f>
        <v>11960000</v>
      </c>
      <c r="L39" s="153">
        <f>K39</f>
        <v>11960000</v>
      </c>
      <c r="M39" s="139"/>
      <c r="N39" s="139">
        <v>70011.21</v>
      </c>
      <c r="O39" s="182">
        <f>70203.02+20027.22+33719.99+31947.95+31371.24+29979.95+30473.42+30473.42</f>
        <v>278196.21</v>
      </c>
      <c r="P39" s="140">
        <f>70011.21+70203.02+20027.22+33719.99+31947.95+31371.24+29979.95+30473.42</f>
        <v>317734</v>
      </c>
      <c r="Q39" s="32">
        <f>N39+O39-P39</f>
        <v>30473.420000000042</v>
      </c>
      <c r="R39" s="32">
        <f>K39+N39+O39-P39</f>
        <v>11990473.420000002</v>
      </c>
      <c r="S39" s="49"/>
      <c r="T39" s="49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66.75" customHeight="1">
      <c r="A40" s="50"/>
      <c r="B40" s="132" t="s">
        <v>15</v>
      </c>
      <c r="C40" s="43" t="s">
        <v>76</v>
      </c>
      <c r="D40" s="43" t="s">
        <v>34</v>
      </c>
      <c r="E40" s="2">
        <v>16000000</v>
      </c>
      <c r="F40" s="184">
        <v>43819</v>
      </c>
      <c r="G40" s="133" t="s">
        <v>28</v>
      </c>
      <c r="H40" s="138">
        <v>16000000</v>
      </c>
      <c r="I40" s="174">
        <v>-4000000</v>
      </c>
      <c r="J40" s="138"/>
      <c r="K40" s="153">
        <f>H40+I40-J40</f>
        <v>12000000</v>
      </c>
      <c r="L40" s="153">
        <f>K40</f>
        <v>12000000</v>
      </c>
      <c r="M40" s="139"/>
      <c r="N40" s="139">
        <v>8742.3</v>
      </c>
      <c r="O40" s="182">
        <f>45292.27+27394.52+33832.77+32054.79+31476.16+30080.22+30575.34+30575.34</f>
        <v>261281.41</v>
      </c>
      <c r="P40" s="140">
        <f>8742.3+45292.27+27394.52+33832.77+32054.79+31476.16+30080.22+30575.34</f>
        <v>239448.37</v>
      </c>
      <c r="Q40" s="32">
        <f>N40+O40-P40</f>
        <v>30575.340000000026</v>
      </c>
      <c r="R40" s="32">
        <f>K40+N40+O40-P40</f>
        <v>12030575.340000002</v>
      </c>
      <c r="S40" s="49"/>
      <c r="T40" s="49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66.75" customHeight="1">
      <c r="A41" s="180">
        <v>17</v>
      </c>
      <c r="B41" s="162" t="s">
        <v>15</v>
      </c>
      <c r="C41" s="163" t="s">
        <v>105</v>
      </c>
      <c r="D41" s="163" t="s">
        <v>34</v>
      </c>
      <c r="E41" s="164">
        <v>36756000</v>
      </c>
      <c r="F41" s="183" t="s">
        <v>106</v>
      </c>
      <c r="G41" s="46" t="s">
        <v>28</v>
      </c>
      <c r="H41" s="138"/>
      <c r="I41" s="174">
        <v>36756000</v>
      </c>
      <c r="J41" s="138"/>
      <c r="K41" s="153">
        <f>H41+I41-J41</f>
        <v>36756000</v>
      </c>
      <c r="L41" s="153">
        <f>K41</f>
        <v>36756000</v>
      </c>
      <c r="M41" s="139"/>
      <c r="N41" s="139"/>
      <c r="O41" s="154">
        <v>16011.52</v>
      </c>
      <c r="P41" s="140">
        <f>16011.52</f>
        <v>16011.52</v>
      </c>
      <c r="Q41" s="32">
        <f>N41+O41-P41</f>
        <v>0</v>
      </c>
      <c r="R41" s="32">
        <f>K41+N41+O41-P41</f>
        <v>36756000</v>
      </c>
      <c r="S41" s="49"/>
      <c r="T41" s="49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66.75" customHeight="1">
      <c r="A42" s="180">
        <v>17</v>
      </c>
      <c r="B42" s="162" t="s">
        <v>15</v>
      </c>
      <c r="C42" s="163" t="s">
        <v>107</v>
      </c>
      <c r="D42" s="163" t="s">
        <v>34</v>
      </c>
      <c r="E42" s="164">
        <v>20000000</v>
      </c>
      <c r="F42" s="183">
        <v>43982</v>
      </c>
      <c r="G42" s="46" t="s">
        <v>28</v>
      </c>
      <c r="H42" s="138"/>
      <c r="I42" s="174">
        <v>20000000</v>
      </c>
      <c r="J42" s="138"/>
      <c r="K42" s="153">
        <f>H42+I42-J42</f>
        <v>20000000</v>
      </c>
      <c r="L42" s="153">
        <f>K42</f>
        <v>20000000</v>
      </c>
      <c r="M42" s="139"/>
      <c r="N42" s="139"/>
      <c r="O42" s="154">
        <v>16438.36</v>
      </c>
      <c r="P42" s="140">
        <f>16438.36</f>
        <v>16438.36</v>
      </c>
      <c r="Q42" s="32">
        <f>N42+O42-P42</f>
        <v>0</v>
      </c>
      <c r="R42" s="32">
        <f>K42+N42+O42-P42</f>
        <v>20000000</v>
      </c>
      <c r="S42" s="49"/>
      <c r="T42" s="49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66.75" customHeight="1">
      <c r="A43" s="180">
        <v>17</v>
      </c>
      <c r="B43" s="162" t="s">
        <v>15</v>
      </c>
      <c r="C43" s="163" t="s">
        <v>119</v>
      </c>
      <c r="D43" s="163" t="s">
        <v>34</v>
      </c>
      <c r="E43" s="164">
        <v>1400000</v>
      </c>
      <c r="F43" s="183">
        <v>44032</v>
      </c>
      <c r="G43" s="46" t="s">
        <v>28</v>
      </c>
      <c r="H43" s="138"/>
      <c r="I43" s="174">
        <v>1400000</v>
      </c>
      <c r="J43" s="138"/>
      <c r="K43" s="153">
        <f>H43+I43-J43</f>
        <v>1400000</v>
      </c>
      <c r="L43" s="153">
        <f>K43</f>
        <v>1400000</v>
      </c>
      <c r="M43" s="139"/>
      <c r="N43" s="139"/>
      <c r="O43" s="154">
        <v>0</v>
      </c>
      <c r="P43" s="140">
        <v>0</v>
      </c>
      <c r="Q43" s="32">
        <f>N43+O43-P43</f>
        <v>0</v>
      </c>
      <c r="R43" s="32">
        <f>K43+N43+O43-P43</f>
        <v>1400000</v>
      </c>
      <c r="S43" s="49"/>
      <c r="T43" s="49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.75" customHeight="1" thickBot="1">
      <c r="A44" s="95" t="s">
        <v>21</v>
      </c>
      <c r="B44" s="18"/>
      <c r="C44" s="18"/>
      <c r="D44" s="96"/>
      <c r="E44" s="97"/>
      <c r="F44" s="98"/>
      <c r="G44" s="98"/>
      <c r="H44" s="136">
        <f>H23+H24+H25+H26+H27+H28+H29+H31+H33+H34+H35+H36+H37+H38+H39+H40+H30+H32+H41+H42+H43</f>
        <v>107985000</v>
      </c>
      <c r="I44" s="136">
        <f aca="true" t="shared" si="4" ref="I44:R44">I23+I24+I25+I26+I27+I28+I29+I31+I33+I34+I35+I36+I37+I38+I39+I40+I30+I32+I41+I42+I43</f>
        <v>21400000</v>
      </c>
      <c r="J44" s="136">
        <f t="shared" si="4"/>
        <v>3023000</v>
      </c>
      <c r="K44" s="136">
        <f t="shared" si="4"/>
        <v>126362000</v>
      </c>
      <c r="L44" s="136">
        <f t="shared" si="4"/>
        <v>126362000</v>
      </c>
      <c r="M44" s="136">
        <f t="shared" si="4"/>
        <v>0</v>
      </c>
      <c r="N44" s="136">
        <f t="shared" si="4"/>
        <v>216818.72000000003</v>
      </c>
      <c r="O44" s="136">
        <f t="shared" si="4"/>
        <v>1222710.4000000001</v>
      </c>
      <c r="P44" s="136">
        <f t="shared" si="4"/>
        <v>1304844.7500000002</v>
      </c>
      <c r="Q44" s="136">
        <f t="shared" si="4"/>
        <v>134684.37000000005</v>
      </c>
      <c r="R44" s="136">
        <f t="shared" si="4"/>
        <v>126496684.37</v>
      </c>
      <c r="S44" s="136">
        <f>S23+S24+S25+S26+S27+S28+S29+S31+S33+S34+S35+S36+S37+S38+S39+S40</f>
        <v>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19" ht="16.5" customHeight="1" thickBot="1">
      <c r="A45" s="141" t="s">
        <v>19</v>
      </c>
      <c r="B45" s="142" t="s">
        <v>23</v>
      </c>
      <c r="C45" s="142"/>
      <c r="D45" s="142"/>
      <c r="E45" s="142"/>
      <c r="F45" s="142"/>
      <c r="G45" s="20"/>
      <c r="H45" s="10"/>
      <c r="I45" s="10"/>
      <c r="J45" s="10"/>
      <c r="K45" s="10"/>
      <c r="L45" s="99"/>
      <c r="M45" s="10"/>
      <c r="N45" s="10"/>
      <c r="O45" s="10"/>
      <c r="P45" s="146"/>
      <c r="Q45" s="10"/>
      <c r="R45" s="147"/>
      <c r="S45" s="25"/>
    </row>
    <row r="46" spans="1:19" ht="69" customHeight="1">
      <c r="A46" s="144">
        <v>1</v>
      </c>
      <c r="B46" s="42" t="s">
        <v>23</v>
      </c>
      <c r="C46" s="145" t="s">
        <v>57</v>
      </c>
      <c r="D46" s="132" t="s">
        <v>58</v>
      </c>
      <c r="E46" s="17">
        <v>9000000</v>
      </c>
      <c r="F46" s="132" t="s">
        <v>63</v>
      </c>
      <c r="G46" s="133" t="s">
        <v>28</v>
      </c>
      <c r="H46" s="7">
        <v>9000000</v>
      </c>
      <c r="I46" s="159"/>
      <c r="J46" s="7">
        <v>9000000</v>
      </c>
      <c r="K46" s="6">
        <f>H46+I46-J46</f>
        <v>0</v>
      </c>
      <c r="L46" s="6">
        <f>K46</f>
        <v>0</v>
      </c>
      <c r="M46" s="3"/>
      <c r="N46" s="3">
        <v>0</v>
      </c>
      <c r="O46" s="3">
        <f>133767.12+120821.92-4315.07</f>
        <v>250273.96999999997</v>
      </c>
      <c r="P46" s="17">
        <f>133767.12+120821.92-4315.07</f>
        <v>250273.96999999997</v>
      </c>
      <c r="Q46" s="6">
        <f>N46+O46-P46</f>
        <v>0</v>
      </c>
      <c r="R46" s="6">
        <f>K46+N46+O46-P46</f>
        <v>0</v>
      </c>
      <c r="S46" s="25"/>
    </row>
    <row r="47" spans="1:19" ht="69" customHeight="1">
      <c r="A47" s="152">
        <v>2</v>
      </c>
      <c r="B47" s="42" t="s">
        <v>23</v>
      </c>
      <c r="C47" s="145" t="s">
        <v>61</v>
      </c>
      <c r="D47" s="132" t="s">
        <v>58</v>
      </c>
      <c r="E47" s="17">
        <v>5000000</v>
      </c>
      <c r="F47" s="132" t="s">
        <v>62</v>
      </c>
      <c r="G47" s="133" t="s">
        <v>28</v>
      </c>
      <c r="H47" s="7"/>
      <c r="I47" s="159"/>
      <c r="J47" s="7"/>
      <c r="K47" s="6">
        <f>H47+I47-J47</f>
        <v>0</v>
      </c>
      <c r="L47" s="6">
        <f>K47</f>
        <v>0</v>
      </c>
      <c r="M47" s="3"/>
      <c r="N47" s="3">
        <v>0</v>
      </c>
      <c r="O47" s="17"/>
      <c r="P47" s="17"/>
      <c r="Q47" s="6">
        <f>N47+O47-P47</f>
        <v>0</v>
      </c>
      <c r="R47" s="6">
        <f>K47+N47+O47-P47</f>
        <v>0</v>
      </c>
      <c r="S47" s="25"/>
    </row>
    <row r="48" spans="1:19" ht="69" customHeight="1">
      <c r="A48" s="152">
        <v>3</v>
      </c>
      <c r="B48" s="42" t="s">
        <v>23</v>
      </c>
      <c r="C48" s="145" t="s">
        <v>68</v>
      </c>
      <c r="D48" s="132" t="s">
        <v>58</v>
      </c>
      <c r="E48" s="17"/>
      <c r="F48" s="132" t="s">
        <v>80</v>
      </c>
      <c r="G48" s="133" t="s">
        <v>28</v>
      </c>
      <c r="H48" s="159">
        <v>10000000</v>
      </c>
      <c r="I48" s="159"/>
      <c r="J48" s="159">
        <v>10000000</v>
      </c>
      <c r="K48" s="6">
        <f>H48+I48-J48</f>
        <v>0</v>
      </c>
      <c r="L48" s="6">
        <f>K48</f>
        <v>0</v>
      </c>
      <c r="M48" s="3"/>
      <c r="N48" s="3">
        <v>0</v>
      </c>
      <c r="O48" s="3">
        <f>148630.14+134246.58</f>
        <v>282876.72</v>
      </c>
      <c r="P48" s="17">
        <f>148630.14+134246.58</f>
        <v>282876.72</v>
      </c>
      <c r="Q48" s="6">
        <f>N48+O48-P48</f>
        <v>0</v>
      </c>
      <c r="R48" s="6">
        <f>K48+N48+O48-P48</f>
        <v>0</v>
      </c>
      <c r="S48" s="25"/>
    </row>
    <row r="49" spans="1:19" ht="69" customHeight="1">
      <c r="A49" s="152">
        <v>4</v>
      </c>
      <c r="B49" s="42" t="s">
        <v>23</v>
      </c>
      <c r="C49" s="145" t="s">
        <v>77</v>
      </c>
      <c r="D49" s="132" t="s">
        <v>58</v>
      </c>
      <c r="E49" s="17"/>
      <c r="F49" s="158">
        <v>43439</v>
      </c>
      <c r="G49" s="133"/>
      <c r="H49" s="159">
        <v>8000000</v>
      </c>
      <c r="I49" s="159"/>
      <c r="J49" s="159">
        <v>8000000</v>
      </c>
      <c r="K49" s="6">
        <f>H49+I49-J49</f>
        <v>0</v>
      </c>
      <c r="L49" s="6">
        <f>K49</f>
        <v>0</v>
      </c>
      <c r="M49" s="3"/>
      <c r="N49" s="3"/>
      <c r="O49" s="3">
        <f>105315.07+95123.29</f>
        <v>200438.36</v>
      </c>
      <c r="P49" s="17">
        <f>105315.07+95123.29</f>
        <v>200438.36</v>
      </c>
      <c r="Q49" s="6">
        <f>N49+O49-P49</f>
        <v>0</v>
      </c>
      <c r="R49" s="6">
        <f>K49+N49+O49-P49</f>
        <v>0</v>
      </c>
      <c r="S49" s="25"/>
    </row>
    <row r="50" spans="1:19" ht="16.5" customHeight="1" thickBot="1">
      <c r="A50" s="95" t="s">
        <v>21</v>
      </c>
      <c r="B50" s="143"/>
      <c r="C50" s="143"/>
      <c r="D50" s="14"/>
      <c r="E50" s="14"/>
      <c r="F50" s="14"/>
      <c r="G50" s="14"/>
      <c r="H50" s="4">
        <f>H46+H47+H48+H49</f>
        <v>27000000</v>
      </c>
      <c r="I50" s="4">
        <f aca="true" t="shared" si="5" ref="I50:R50">I46+I47+I48+I49</f>
        <v>0</v>
      </c>
      <c r="J50" s="4">
        <f t="shared" si="5"/>
        <v>27000000</v>
      </c>
      <c r="K50" s="1">
        <f t="shared" si="5"/>
        <v>0</v>
      </c>
      <c r="L50" s="1">
        <f t="shared" si="5"/>
        <v>0</v>
      </c>
      <c r="M50" s="1">
        <f t="shared" si="5"/>
        <v>0</v>
      </c>
      <c r="N50" s="1">
        <f t="shared" si="5"/>
        <v>0</v>
      </c>
      <c r="O50" s="1">
        <f t="shared" si="5"/>
        <v>733589.0499999999</v>
      </c>
      <c r="P50" s="1">
        <f t="shared" si="5"/>
        <v>733589.0499999999</v>
      </c>
      <c r="Q50" s="1">
        <f t="shared" si="5"/>
        <v>0</v>
      </c>
      <c r="R50" s="1">
        <f t="shared" si="5"/>
        <v>0</v>
      </c>
      <c r="S50" s="1">
        <f>S46+S47+S48</f>
        <v>0</v>
      </c>
    </row>
    <row r="51" spans="1:35" s="83" customFormat="1" ht="18" customHeight="1" thickBot="1">
      <c r="A51" s="101" t="s">
        <v>5</v>
      </c>
      <c r="B51" s="102" t="s">
        <v>22</v>
      </c>
      <c r="C51" s="102"/>
      <c r="D51" s="148"/>
      <c r="E51" s="148"/>
      <c r="F51" s="148"/>
      <c r="G51" s="148"/>
      <c r="H51" s="148"/>
      <c r="I51" s="143"/>
      <c r="J51" s="143"/>
      <c r="K51" s="143"/>
      <c r="L51" s="143"/>
      <c r="M51" s="143"/>
      <c r="N51" s="143"/>
      <c r="O51" s="143"/>
      <c r="P51" s="151"/>
      <c r="Q51" s="143"/>
      <c r="R51" s="149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35" s="83" customFormat="1" ht="69.75" customHeight="1" hidden="1">
      <c r="A52" s="101"/>
      <c r="B52" s="103"/>
      <c r="C52" s="104"/>
      <c r="D52" s="104"/>
      <c r="E52" s="105"/>
      <c r="F52" s="104"/>
      <c r="G52" s="46"/>
      <c r="H52" s="62"/>
      <c r="I52" s="62"/>
      <c r="J52" s="33"/>
      <c r="K52" s="62"/>
      <c r="L52" s="32"/>
      <c r="M52" s="21"/>
      <c r="N52" s="21"/>
      <c r="O52" s="21"/>
      <c r="P52" s="150"/>
      <c r="Q52" s="62"/>
      <c r="R52" s="62"/>
      <c r="S52" s="82"/>
      <c r="T52" s="106"/>
      <c r="U52" s="106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</row>
    <row r="53" spans="1:35" s="83" customFormat="1" ht="18" customHeight="1" thickBot="1">
      <c r="A53" s="107" t="s">
        <v>21</v>
      </c>
      <c r="B53" s="108"/>
      <c r="C53" s="109"/>
      <c r="D53" s="109"/>
      <c r="E53" s="110"/>
      <c r="F53" s="111"/>
      <c r="G53" s="104"/>
      <c r="H53" s="34">
        <f>H52</f>
        <v>0</v>
      </c>
      <c r="I53" s="34">
        <f>I52</f>
        <v>0</v>
      </c>
      <c r="J53" s="34">
        <f>J52</f>
        <v>0</v>
      </c>
      <c r="K53" s="34">
        <f>K52</f>
        <v>0</v>
      </c>
      <c r="L53" s="34">
        <f>L52</f>
        <v>0</v>
      </c>
      <c r="M53" s="22">
        <v>3</v>
      </c>
      <c r="N53" s="22">
        <v>0</v>
      </c>
      <c r="O53" s="22">
        <v>0</v>
      </c>
      <c r="P53" s="22">
        <v>0</v>
      </c>
      <c r="Q53" s="34">
        <f>K53</f>
        <v>0</v>
      </c>
      <c r="R53" s="34">
        <f>Q53</f>
        <v>0</v>
      </c>
      <c r="S53" s="82"/>
      <c r="T53" s="11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</row>
    <row r="54" spans="1:20" ht="16.5" customHeight="1" thickBot="1">
      <c r="A54" s="113"/>
      <c r="B54" s="20" t="s">
        <v>16</v>
      </c>
      <c r="C54" s="19"/>
      <c r="D54" s="19"/>
      <c r="E54" s="19"/>
      <c r="F54" s="100"/>
      <c r="G54" s="114"/>
      <c r="H54" s="23">
        <f>H44+H52+H50</f>
        <v>134985000</v>
      </c>
      <c r="I54" s="23">
        <f aca="true" t="shared" si="6" ref="I54:R54">I44+I52+I50</f>
        <v>21400000</v>
      </c>
      <c r="J54" s="23">
        <f t="shared" si="6"/>
        <v>30023000</v>
      </c>
      <c r="K54" s="23">
        <f>K44+K52+K50</f>
        <v>126362000</v>
      </c>
      <c r="L54" s="23">
        <f t="shared" si="6"/>
        <v>126362000</v>
      </c>
      <c r="M54" s="23">
        <f t="shared" si="6"/>
        <v>0</v>
      </c>
      <c r="N54" s="23">
        <f t="shared" si="6"/>
        <v>216818.72000000003</v>
      </c>
      <c r="O54" s="23">
        <f t="shared" si="6"/>
        <v>1956299.4500000002</v>
      </c>
      <c r="P54" s="23">
        <f t="shared" si="6"/>
        <v>2038433.8000000003</v>
      </c>
      <c r="Q54" s="23">
        <f t="shared" si="6"/>
        <v>134684.37000000005</v>
      </c>
      <c r="R54" s="23">
        <f t="shared" si="6"/>
        <v>126496684.37</v>
      </c>
      <c r="S54" s="25"/>
      <c r="T54" s="115"/>
    </row>
    <row r="55" spans="1:19" ht="16.5" customHeight="1">
      <c r="A55" s="25"/>
      <c r="B55" s="82"/>
      <c r="C55" s="10"/>
      <c r="D55" s="10"/>
      <c r="E55" s="10"/>
      <c r="F55" s="10"/>
      <c r="G55" s="10"/>
      <c r="H55" s="24"/>
      <c r="I55" s="24"/>
      <c r="J55" s="24"/>
      <c r="K55" s="24"/>
      <c r="L55" s="24"/>
      <c r="M55" s="40"/>
      <c r="N55" s="24"/>
      <c r="O55" s="24"/>
      <c r="P55" s="24"/>
      <c r="Q55" s="24"/>
      <c r="R55" s="24"/>
      <c r="S55" s="25"/>
    </row>
    <row r="56" spans="1:19" ht="16.5" customHeight="1">
      <c r="A56" s="25"/>
      <c r="B56" s="10" t="s">
        <v>36</v>
      </c>
      <c r="C56" s="10"/>
      <c r="D56" s="10"/>
      <c r="E56" s="10"/>
      <c r="F56" s="10"/>
      <c r="G56" s="10"/>
      <c r="H56" s="24" t="s">
        <v>45</v>
      </c>
      <c r="I56" s="24"/>
      <c r="J56" s="24"/>
      <c r="K56" s="24"/>
      <c r="L56" s="24"/>
      <c r="M56" s="40"/>
      <c r="N56" s="24"/>
      <c r="O56" s="24"/>
      <c r="P56" s="40"/>
      <c r="Q56" s="24"/>
      <c r="R56" s="24"/>
      <c r="S56" s="25"/>
    </row>
    <row r="57" spans="1:19" ht="16.5" customHeight="1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4"/>
      <c r="Q57" s="10"/>
      <c r="R57" s="10"/>
      <c r="S57" s="25"/>
    </row>
    <row r="58" spans="1:19" ht="15.75" customHeight="1">
      <c r="A58" s="25"/>
      <c r="B58" s="10" t="s">
        <v>27</v>
      </c>
      <c r="C58" s="10"/>
      <c r="D58" s="116"/>
      <c r="E58" s="117"/>
      <c r="F58" s="117"/>
      <c r="G58" s="117"/>
      <c r="H58" s="35" t="s">
        <v>67</v>
      </c>
      <c r="I58" s="35"/>
      <c r="J58" s="35"/>
      <c r="K58" s="35"/>
      <c r="L58" s="35"/>
      <c r="M58" s="10"/>
      <c r="N58" s="10"/>
      <c r="O58" s="10"/>
      <c r="P58" s="10"/>
      <c r="Q58" s="10"/>
      <c r="R58" s="10"/>
      <c r="S58" s="25"/>
    </row>
    <row r="59" spans="1:19" ht="15.75" customHeight="1">
      <c r="A59" s="25"/>
      <c r="B59" s="10" t="s">
        <v>26</v>
      </c>
      <c r="C59" s="10"/>
      <c r="D59" s="116"/>
      <c r="E59" s="117"/>
      <c r="F59" s="117"/>
      <c r="G59" s="117"/>
      <c r="H59" s="35"/>
      <c r="I59" s="35"/>
      <c r="J59" s="35"/>
      <c r="K59" s="118"/>
      <c r="L59" s="118"/>
      <c r="M59" s="10"/>
      <c r="N59" s="10"/>
      <c r="O59" s="10"/>
      <c r="P59" s="10"/>
      <c r="Q59" s="10"/>
      <c r="R59" s="10"/>
      <c r="S59" s="25"/>
    </row>
    <row r="60" spans="1:19" ht="12.75">
      <c r="A60" s="25"/>
      <c r="B60" s="10"/>
      <c r="C60" s="10"/>
      <c r="D60" s="39"/>
      <c r="E60" s="10"/>
      <c r="F60" s="10"/>
      <c r="G60" s="10"/>
      <c r="H60" s="36"/>
      <c r="I60" s="36"/>
      <c r="J60" s="36"/>
      <c r="K60" s="36"/>
      <c r="L60" s="36"/>
      <c r="M60" s="10"/>
      <c r="N60" s="10"/>
      <c r="O60" s="10"/>
      <c r="P60" s="10"/>
      <c r="Q60" s="10"/>
      <c r="R60" s="10"/>
      <c r="S60" s="25"/>
    </row>
    <row r="61" spans="1:19" ht="0.75" customHeight="1">
      <c r="A61" s="25"/>
      <c r="B61" s="10"/>
      <c r="C61" s="10"/>
      <c r="D61" s="39"/>
      <c r="E61" s="10"/>
      <c r="F61" s="10"/>
      <c r="G61" s="10"/>
      <c r="H61" s="119"/>
      <c r="I61" s="36"/>
      <c r="J61" s="36"/>
      <c r="K61" s="36"/>
      <c r="L61" s="36"/>
      <c r="M61" s="10"/>
      <c r="N61" s="10"/>
      <c r="O61" s="10"/>
      <c r="P61" s="10"/>
      <c r="Q61" s="10"/>
      <c r="R61" s="10"/>
      <c r="S61" s="25"/>
    </row>
    <row r="62" spans="1:19" ht="14.25" customHeight="1" hidden="1">
      <c r="A62" s="25"/>
      <c r="B62" s="10"/>
      <c r="C62" s="10"/>
      <c r="D62" s="39"/>
      <c r="E62" s="10"/>
      <c r="F62" s="10"/>
      <c r="G62" s="10"/>
      <c r="H62" s="36"/>
      <c r="I62" s="36"/>
      <c r="J62" s="36"/>
      <c r="K62" s="36"/>
      <c r="L62" s="36"/>
      <c r="M62" s="10"/>
      <c r="N62" s="10"/>
      <c r="O62" s="10"/>
      <c r="P62" s="10"/>
      <c r="Q62" s="10"/>
      <c r="R62" s="10"/>
      <c r="S62" s="25"/>
    </row>
    <row r="63" spans="1:19" ht="13.5" customHeight="1" hidden="1">
      <c r="A63" s="25"/>
      <c r="B63" s="10"/>
      <c r="C63" s="10"/>
      <c r="D63" s="10"/>
      <c r="E63" s="10"/>
      <c r="F63" s="10"/>
      <c r="G63" s="10"/>
      <c r="H63" s="37"/>
      <c r="I63" s="37"/>
      <c r="J63" s="37"/>
      <c r="K63" s="37"/>
      <c r="L63" s="37"/>
      <c r="M63" s="10"/>
      <c r="N63" s="10"/>
      <c r="O63" s="10"/>
      <c r="P63" s="10"/>
      <c r="Q63" s="10"/>
      <c r="R63" s="10"/>
      <c r="S63" s="25"/>
    </row>
    <row r="64" spans="2:18" s="25" customFormat="1" ht="12.75" customHeight="1">
      <c r="B64" s="10" t="s">
        <v>14</v>
      </c>
      <c r="C64" s="39"/>
      <c r="D64" s="120"/>
      <c r="E64" s="121"/>
      <c r="F64" s="10"/>
      <c r="G64" s="10"/>
      <c r="H64" s="37"/>
      <c r="I64" s="37"/>
      <c r="J64" s="37"/>
      <c r="K64" s="37"/>
      <c r="L64" s="37"/>
      <c r="M64" s="10"/>
      <c r="N64" s="10"/>
      <c r="O64" s="10"/>
      <c r="P64" s="10"/>
      <c r="Q64" s="10"/>
      <c r="R64" s="10"/>
    </row>
    <row r="65" spans="1:18" s="25" customFormat="1" ht="9.75" customHeight="1">
      <c r="A65" s="122"/>
      <c r="B65" s="123" t="s">
        <v>20</v>
      </c>
      <c r="C65" s="10"/>
      <c r="D65" s="10"/>
      <c r="E65" s="124"/>
      <c r="F65" s="124"/>
      <c r="G65" s="125"/>
      <c r="H65" s="38"/>
      <c r="I65" s="38"/>
      <c r="J65" s="38"/>
      <c r="K65" s="38"/>
      <c r="L65" s="38"/>
      <c r="M65" s="10"/>
      <c r="N65" s="10"/>
      <c r="O65" s="10"/>
      <c r="P65" s="10"/>
      <c r="Q65" s="10"/>
      <c r="R65" s="10"/>
    </row>
    <row r="66" spans="2:18" s="25" customFormat="1" ht="12.75">
      <c r="B66" s="39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38"/>
      <c r="G68" s="38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38"/>
      <c r="F69" s="38"/>
      <c r="G69" s="38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38"/>
      <c r="F70" s="126"/>
      <c r="G70" s="126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1:18" s="25" customFormat="1" ht="18.75">
      <c r="A71" s="122"/>
      <c r="B71" s="122"/>
      <c r="C71" s="127"/>
      <c r="D71" s="127"/>
      <c r="E71" s="127"/>
      <c r="F71" s="127"/>
      <c r="G71" s="127"/>
      <c r="H71" s="39"/>
      <c r="I71" s="39"/>
      <c r="J71" s="39"/>
      <c r="K71" s="39"/>
      <c r="L71" s="39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38"/>
      <c r="F72" s="38"/>
      <c r="G72" s="38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38"/>
      <c r="F73" s="38"/>
      <c r="G73" s="38"/>
      <c r="H73" s="35"/>
      <c r="I73" s="35"/>
      <c r="J73" s="35"/>
      <c r="K73" s="35"/>
      <c r="L73" s="35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38"/>
      <c r="F74" s="38"/>
      <c r="G74" s="38"/>
      <c r="H74" s="35"/>
      <c r="I74" s="35"/>
      <c r="J74" s="35"/>
      <c r="K74" s="35"/>
      <c r="L74" s="35"/>
      <c r="M74" s="10"/>
      <c r="N74" s="10"/>
      <c r="O74" s="10"/>
      <c r="P74" s="10"/>
      <c r="Q74" s="10"/>
      <c r="R74" s="10"/>
    </row>
    <row r="75" spans="1:18" s="25" customFormat="1" ht="18.75">
      <c r="A75" s="128"/>
      <c r="B75" s="10"/>
      <c r="C75" s="10"/>
      <c r="D75" s="10"/>
      <c r="E75" s="125"/>
      <c r="F75" s="125"/>
      <c r="G75" s="125"/>
      <c r="H75" s="38"/>
      <c r="I75" s="38"/>
      <c r="J75" s="38"/>
      <c r="K75" s="38"/>
      <c r="L75" s="38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29"/>
      <c r="G76" s="129"/>
      <c r="H76" s="35"/>
      <c r="I76" s="35"/>
      <c r="J76" s="35"/>
      <c r="K76" s="35"/>
      <c r="L76" s="35"/>
      <c r="M76" s="10"/>
      <c r="N76" s="10"/>
      <c r="O76" s="10"/>
      <c r="P76" s="10"/>
      <c r="Q76" s="10"/>
      <c r="R76" s="10"/>
    </row>
    <row r="77" spans="2:18" s="25" customFormat="1" ht="12.75">
      <c r="B77" s="10"/>
      <c r="C77" s="10"/>
      <c r="D77" s="116"/>
      <c r="E77" s="117"/>
      <c r="F77" s="129"/>
      <c r="G77" s="129"/>
      <c r="H77" s="35"/>
      <c r="I77" s="35"/>
      <c r="J77" s="35"/>
      <c r="K77" s="35"/>
      <c r="L77" s="35"/>
      <c r="M77" s="10"/>
      <c r="N77" s="10"/>
      <c r="O77" s="10"/>
      <c r="P77" s="10"/>
      <c r="Q77" s="10"/>
      <c r="R77" s="10"/>
    </row>
    <row r="78" spans="2:18" s="25" customFormat="1" ht="12.75">
      <c r="B78" s="10"/>
      <c r="C78" s="10"/>
      <c r="D78" s="116"/>
      <c r="E78" s="117"/>
      <c r="F78" s="129"/>
      <c r="G78" s="129"/>
      <c r="H78" s="35"/>
      <c r="I78" s="35"/>
      <c r="J78" s="35"/>
      <c r="K78" s="35"/>
      <c r="L78" s="35"/>
      <c r="M78" s="10"/>
      <c r="N78" s="10"/>
      <c r="O78" s="10"/>
      <c r="P78" s="10"/>
      <c r="Q78" s="10"/>
      <c r="R78" s="10"/>
    </row>
    <row r="79" spans="1:18" s="25" customFormat="1" ht="18.75">
      <c r="A79" s="122"/>
      <c r="B79" s="122"/>
      <c r="C79" s="122"/>
      <c r="D79" s="122"/>
      <c r="E79" s="122"/>
      <c r="F79" s="122"/>
      <c r="G79" s="130"/>
      <c r="H79" s="131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 s="25" customFormat="1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 s="25" customFormat="1" ht="12.75">
      <c r="B81" s="10"/>
      <c r="C81" s="10"/>
      <c r="D81" s="116"/>
      <c r="E81" s="117"/>
      <c r="F81" s="117"/>
      <c r="G81" s="117"/>
      <c r="H81" s="35"/>
      <c r="I81" s="35"/>
      <c r="J81" s="35"/>
      <c r="K81" s="118"/>
      <c r="L81" s="118"/>
      <c r="M81" s="10"/>
      <c r="N81" s="10"/>
      <c r="O81" s="10"/>
      <c r="P81" s="10"/>
      <c r="Q81" s="10"/>
      <c r="R81" s="10"/>
    </row>
    <row r="82" spans="2:18" s="25" customFormat="1" ht="12.75">
      <c r="B82" s="10"/>
      <c r="C82" s="10"/>
      <c r="D82" s="39"/>
      <c r="E82" s="10"/>
      <c r="F82" s="10"/>
      <c r="G82" s="10"/>
      <c r="H82" s="36"/>
      <c r="I82" s="36"/>
      <c r="J82" s="36"/>
      <c r="K82" s="36"/>
      <c r="L82" s="36"/>
      <c r="M82" s="10"/>
      <c r="N82" s="10"/>
      <c r="O82" s="10"/>
      <c r="Q82" s="10"/>
      <c r="R82" s="10"/>
    </row>
    <row r="83" s="25" customFormat="1" ht="12.75">
      <c r="P83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rfu41</cp:lastModifiedBy>
  <cp:lastPrinted>2017-09-08T05:23:03Z</cp:lastPrinted>
  <dcterms:created xsi:type="dcterms:W3CDTF">2000-01-05T08:20:30Z</dcterms:created>
  <dcterms:modified xsi:type="dcterms:W3CDTF">2017-11-16T07:40:27Z</dcterms:modified>
  <cp:category/>
  <cp:version/>
  <cp:contentType/>
  <cp:contentStatus/>
</cp:coreProperties>
</file>