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9720" windowHeight="4680" tabRatio="902" activeTab="5"/>
  </bookViews>
  <sheets>
    <sheet name="01,01,19" sheetId="1" r:id="rId1"/>
    <sheet name="01,02,19" sheetId="2" r:id="rId2"/>
    <sheet name="01,03,19 " sheetId="3" r:id="rId3"/>
    <sheet name="01,04,19  " sheetId="4" r:id="rId4"/>
    <sheet name="01,05,19  " sheetId="5" r:id="rId5"/>
    <sheet name="01,06,19  " sheetId="6" r:id="rId6"/>
    <sheet name="Лист1" sheetId="7" r:id="rId7"/>
  </sheets>
  <definedNames>
    <definedName name="С55" localSheetId="0">#REF!</definedName>
    <definedName name="С55" localSheetId="1">#REF!</definedName>
    <definedName name="С55" localSheetId="2">#REF!</definedName>
    <definedName name="С55" localSheetId="3">#REF!</definedName>
    <definedName name="С55" localSheetId="4">#REF!</definedName>
    <definedName name="С55" localSheetId="5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<sst xmlns="http://schemas.openxmlformats.org/spreadsheetml/2006/main" count="611" uniqueCount="99">
  <si>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</si>
  <si>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</si>
  <si>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</si>
  <si>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</si>
  <si>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</si>
  <si>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</si>
  <si>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</si>
  <si>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</si>
  <si>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</si>
  <si>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</si>
  <si>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</si>
  <si>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</si>
  <si>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</si>
  <si>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</si>
  <si>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</si>
  <si>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</si>
  <si>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</si>
  <si>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</si>
  <si>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</si>
  <si>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</si>
  <si>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</si>
  <si>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</si>
  <si>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</si>
  <si>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</si>
  <si>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</si>
  <si>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</si>
  <si>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</si>
  <si>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</si>
  <si>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</si>
  <si>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</si>
  <si>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</si>
  <si>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</si>
  <si>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</si>
  <si>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</si>
  <si>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</si>
  <si>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</si>
  <si>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Образование долгового обязательства  за отчетный период (январь)</t>
  </si>
  <si>
    <t>№9-1/13 от 09.08.2013г</t>
  </si>
  <si>
    <t>№9-2/13 от 2412.2013г</t>
  </si>
  <si>
    <t>С.К. Прокопьев</t>
  </si>
  <si>
    <t>Погашение долгового  обязательства за отчетный период (январь)</t>
  </si>
  <si>
    <t>ПАО "Совкомбанк"</t>
  </si>
  <si>
    <t>20.11.2018г.</t>
  </si>
  <si>
    <t xml:space="preserve">Т.Н.Столярова </t>
  </si>
  <si>
    <t>№9-1/16 от03.08.2016 год</t>
  </si>
  <si>
    <t>22.07.2019г.</t>
  </si>
  <si>
    <t>№9-2/16 от23.12.2016 год</t>
  </si>
  <si>
    <t>№9-2/14 р (к дог 9-2/14 от 10.07.2014г.) от 24.06.2016г.</t>
  </si>
  <si>
    <t>№9-1/14 р (к дог 9-1/14 от 11.03.2014г.) от 24.06.2016г.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</si>
  <si>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</si>
  <si>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</si>
  <si>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</si>
  <si>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</si>
  <si>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>23.06.2020 г</t>
  </si>
  <si>
    <t>20.12.2018г.</t>
  </si>
  <si>
    <t xml:space="preserve"> №9-2\17р от 11.08.2017г.</t>
  </si>
  <si>
    <t>ставка по кредиту (%)</t>
  </si>
  <si>
    <t>Образование долгового обязательства  за отчетный период (январь-декабрь)</t>
  </si>
  <si>
    <t>Погашение долгового  обязательства за отчетный период (январь-декабрь)</t>
  </si>
  <si>
    <t>Остаток долгового обязательства на конец отчетного периода (1.01.2018)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</si>
  <si>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</si>
  <si>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</si>
  <si>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</si>
  <si>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</si>
  <si>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</si>
  <si>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</si>
  <si>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№9-1/15 от 15.06.2015г.</t>
  </si>
  <si>
    <t>№9-3/15 от 10.11.2015 год</t>
  </si>
  <si>
    <t>№9-4/15 от 24.12.2015 год</t>
  </si>
  <si>
    <t>Остаток долгового обязательства на начало отчетного периода (1.01.2018)</t>
  </si>
  <si>
    <t>Списаны долговые обязательства</t>
  </si>
  <si>
    <t>реструктуризированны долговые обязательства</t>
  </si>
  <si>
    <t>№9-1/18р от 16.02.18г. (реструктуризация)</t>
  </si>
  <si>
    <t>15.11.2018г.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</si>
  <si>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</si>
  <si>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</si>
  <si>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</si>
  <si>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</si>
  <si>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</si>
  <si>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по состоянию на  1.01.2019 года</t>
  </si>
  <si>
    <t>по состоянию на  1.02.2019 года</t>
  </si>
  <si>
    <t>Остаток долгового обязательства на начало отчетного периода (1.01.2019)</t>
  </si>
  <si>
    <t>по состоянию на  1.03.2019 года</t>
  </si>
  <si>
    <t>Образование долгового обязательства  за отчетный период (февраль)</t>
  </si>
  <si>
    <t>Погашение долгового  обязательства за отчетный период (февраль)</t>
  </si>
  <si>
    <t>Остаток долгового обязательства на конец отчетного периода (1.03.2019)</t>
  </si>
  <si>
    <t>Остаток долгового обязательства на конец отчетного периода (1.02.2019)</t>
  </si>
  <si>
    <t>по состоянию на  1.04.2019 года</t>
  </si>
  <si>
    <t>Остаток долгового обязательства на конец отчетного периода (1.04.2019)</t>
  </si>
  <si>
    <t>Образование долгового обязательства  за отчетный период (март)</t>
  </si>
  <si>
    <t>Погашение долгового  обязательства за отчетный период (март)</t>
  </si>
  <si>
    <t>по состоянию на  1.05.2019 года</t>
  </si>
  <si>
    <t>Образование долгового обязательства  за отчетный период (апрель)</t>
  </si>
  <si>
    <t>Погашение долгового  обязательства за отчетный период (апрель)</t>
  </si>
  <si>
    <t>Остаток долгового обязательства на конец отчетного периода (1.05.2019)</t>
  </si>
  <si>
    <t>по состоянию на  1.06.2019 года</t>
  </si>
  <si>
    <t>Образование долгового обязательства  за отчетный период (май)</t>
  </si>
  <si>
    <t>Погашение долгового  обязательства за отчетный период (май)</t>
  </si>
  <si>
    <t>Остаток долгового обязательства на конец отчетного периода (1.06.2019)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</si>
</sst>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5">
      <pane ySplit="3090" topLeftCell="A29" activePane="bottomLeft" state="split"/>
      <selection pane="topLeft" activeCell="A5" sqref="A5"/>
      <selection pane="bottomLeft" activeCell="S38" sqref="S3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69</v>
      </c>
      <c r="J8" s="11" t="s">
        <v>57</v>
      </c>
      <c r="K8" s="11" t="s">
        <v>70</v>
      </c>
      <c r="L8" s="11" t="s">
        <v>71</v>
      </c>
      <c r="M8" s="11" t="s">
        <v>58</v>
      </c>
      <c r="N8" s="11" t="s">
        <v>59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>
        <v>0</v>
      </c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>
        <v>-49.72</v>
      </c>
      <c r="R23" s="5">
        <v>49.72</v>
      </c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>
      <c r="A24" s="50">
        <v>2</v>
      </c>
      <c r="B24" s="42" t="s">
        <v>15</v>
      </c>
      <c r="C24" s="51" t="s">
        <v>38</v>
      </c>
      <c r="D24" s="51" t="s">
        <v>34</v>
      </c>
      <c r="E24" s="44">
        <v>10000000</v>
      </c>
      <c r="F24" s="45" t="s">
        <v>52</v>
      </c>
      <c r="G24" s="45"/>
      <c r="H24" s="46" t="s">
        <v>28</v>
      </c>
      <c r="I24" s="32">
        <v>0</v>
      </c>
      <c r="J24" s="32"/>
      <c r="K24" s="32"/>
      <c r="L24" s="32"/>
      <c r="M24" s="32"/>
      <c r="N24" s="52">
        <f aca="true" t="shared" si="2" ref="N24:N37">I24+J24-M24</f>
        <v>0</v>
      </c>
      <c r="O24" s="47">
        <f t="shared" si="0"/>
        <v>0</v>
      </c>
      <c r="P24" s="7"/>
      <c r="Q24" s="7">
        <v>-164.25</v>
      </c>
      <c r="R24" s="5">
        <v>164.25</v>
      </c>
      <c r="S24" s="5"/>
      <c r="T24" s="6">
        <f t="shared" si="1"/>
        <v>0</v>
      </c>
      <c r="U24" s="48">
        <f aca="true" t="shared" si="3" ref="U24:U37">O24+T24</f>
        <v>0</v>
      </c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>
      <c r="A25" s="50">
        <v>3</v>
      </c>
      <c r="B25" s="42"/>
      <c r="C25" s="51" t="s">
        <v>48</v>
      </c>
      <c r="D25" s="51" t="s">
        <v>34</v>
      </c>
      <c r="E25" s="44"/>
      <c r="F25" s="45" t="s">
        <v>53</v>
      </c>
      <c r="G25" s="45"/>
      <c r="H25" s="46"/>
      <c r="I25" s="32">
        <v>0</v>
      </c>
      <c r="J25" s="32"/>
      <c r="K25" s="32"/>
      <c r="L25" s="32"/>
      <c r="M25" s="32"/>
      <c r="N25" s="52">
        <f t="shared" si="2"/>
        <v>0</v>
      </c>
      <c r="O25" s="47">
        <f t="shared" si="0"/>
        <v>0</v>
      </c>
      <c r="P25" s="7"/>
      <c r="Q25" s="7">
        <v>-166.44</v>
      </c>
      <c r="R25" s="5">
        <v>166.44</v>
      </c>
      <c r="S25" s="5"/>
      <c r="T25" s="6">
        <f t="shared" si="1"/>
        <v>0</v>
      </c>
      <c r="U25" s="48">
        <f t="shared" si="3"/>
        <v>0</v>
      </c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>
      <c r="A26" s="50">
        <v>4</v>
      </c>
      <c r="B26" s="42"/>
      <c r="C26" s="51" t="s">
        <v>47</v>
      </c>
      <c r="D26" s="51"/>
      <c r="E26" s="44"/>
      <c r="F26" s="45" t="s">
        <v>53</v>
      </c>
      <c r="G26" s="45"/>
      <c r="H26" s="46"/>
      <c r="I26" s="32">
        <v>0</v>
      </c>
      <c r="J26" s="32"/>
      <c r="K26" s="32"/>
      <c r="L26" s="32"/>
      <c r="M26" s="32"/>
      <c r="N26" s="52">
        <f t="shared" si="2"/>
        <v>0</v>
      </c>
      <c r="O26" s="47">
        <f t="shared" si="0"/>
        <v>0</v>
      </c>
      <c r="P26" s="7"/>
      <c r="Q26" s="7">
        <v>-82.06</v>
      </c>
      <c r="R26" s="5">
        <v>82.06</v>
      </c>
      <c r="S26" s="5"/>
      <c r="T26" s="6">
        <f t="shared" si="1"/>
        <v>0</v>
      </c>
      <c r="U26" s="48">
        <f t="shared" si="3"/>
        <v>0</v>
      </c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>
      <c r="A27" s="41">
        <v>5</v>
      </c>
      <c r="B27" s="131" t="s">
        <v>15</v>
      </c>
      <c r="C27" s="51" t="s">
        <v>66</v>
      </c>
      <c r="D27" s="43" t="s">
        <v>34</v>
      </c>
      <c r="E27" s="44">
        <v>10000000</v>
      </c>
      <c r="F27" s="45">
        <v>43240</v>
      </c>
      <c r="G27" s="92"/>
      <c r="H27" s="132" t="s">
        <v>28</v>
      </c>
      <c r="I27" s="32">
        <v>10000000</v>
      </c>
      <c r="J27" s="44">
        <f>-(K27+L27)</f>
        <v>-8000000</v>
      </c>
      <c r="K27" s="44">
        <v>5600000</v>
      </c>
      <c r="L27" s="44">
        <v>2400000</v>
      </c>
      <c r="M27" s="32">
        <v>2000000</v>
      </c>
      <c r="N27" s="52">
        <f t="shared" si="2"/>
        <v>0</v>
      </c>
      <c r="O27" s="47">
        <f t="shared" si="0"/>
        <v>0</v>
      </c>
      <c r="P27" s="4"/>
      <c r="Q27" s="4">
        <v>22715.62</v>
      </c>
      <c r="R27" s="5">
        <f>20664+8419.29</f>
        <v>29083.29</v>
      </c>
      <c r="S27" s="93">
        <f>22715.62+20664+8419.29</f>
        <v>51798.909999999996</v>
      </c>
      <c r="T27" s="6">
        <f t="shared" si="1"/>
        <v>0</v>
      </c>
      <c r="U27" s="48">
        <f>O27+T27</f>
        <v>0</v>
      </c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>
      <c r="A28" s="50">
        <v>6</v>
      </c>
      <c r="B28" s="42" t="s">
        <v>15</v>
      </c>
      <c r="C28" s="51" t="s">
        <v>67</v>
      </c>
      <c r="D28" s="51" t="s">
        <v>34</v>
      </c>
      <c r="E28" s="44">
        <v>65000</v>
      </c>
      <c r="F28" s="45" t="s">
        <v>42</v>
      </c>
      <c r="G28" s="45"/>
      <c r="H28" s="46" t="s">
        <v>28</v>
      </c>
      <c r="I28" s="135">
        <v>6500000</v>
      </c>
      <c r="J28" s="134">
        <f>-(K28+L28)</f>
        <v>-6500000</v>
      </c>
      <c r="K28" s="134">
        <v>4550000</v>
      </c>
      <c r="L28" s="134">
        <v>1950000</v>
      </c>
      <c r="M28" s="135"/>
      <c r="N28" s="52">
        <f t="shared" si="2"/>
        <v>0</v>
      </c>
      <c r="O28" s="52">
        <f t="shared" si="0"/>
        <v>0</v>
      </c>
      <c r="P28" s="136"/>
      <c r="Q28" s="136">
        <v>14765.15</v>
      </c>
      <c r="R28" s="5">
        <f>14259.58+6840.67</f>
        <v>21100.25</v>
      </c>
      <c r="S28" s="137">
        <f>14765.15+14259.58+6840.67</f>
        <v>35865.4</v>
      </c>
      <c r="T28" s="32">
        <f t="shared" si="1"/>
        <v>0</v>
      </c>
      <c r="U28" s="48">
        <f t="shared" si="3"/>
        <v>0</v>
      </c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>
      <c r="A29" s="50">
        <v>7</v>
      </c>
      <c r="B29" s="42" t="s">
        <v>15</v>
      </c>
      <c r="C29" s="51" t="s">
        <v>68</v>
      </c>
      <c r="D29" s="51" t="s">
        <v>34</v>
      </c>
      <c r="E29" s="44">
        <v>12400000</v>
      </c>
      <c r="F29" s="45" t="s">
        <v>54</v>
      </c>
      <c r="G29" s="45"/>
      <c r="H29" s="46" t="s">
        <v>28</v>
      </c>
      <c r="I29" s="135">
        <v>12400000</v>
      </c>
      <c r="J29" s="134">
        <f>-(K29+L29)</f>
        <v>-11367000</v>
      </c>
      <c r="K29" s="134">
        <v>7956900</v>
      </c>
      <c r="L29" s="134">
        <v>3410100</v>
      </c>
      <c r="M29" s="135">
        <v>1033000</v>
      </c>
      <c r="N29" s="52">
        <f t="shared" si="2"/>
        <v>0</v>
      </c>
      <c r="O29" s="149">
        <f t="shared" si="0"/>
        <v>0</v>
      </c>
      <c r="P29" s="136"/>
      <c r="Q29" s="136">
        <v>28167.36</v>
      </c>
      <c r="R29" s="150">
        <f>26544.96+11962.76</f>
        <v>38507.72</v>
      </c>
      <c r="S29" s="137">
        <f>28167.36+26544.96+11962.76</f>
        <v>66675.08</v>
      </c>
      <c r="T29" s="32">
        <f t="shared" si="1"/>
        <v>0</v>
      </c>
      <c r="U29" s="48">
        <f t="shared" si="3"/>
        <v>0</v>
      </c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11960000</v>
      </c>
      <c r="J30" s="134">
        <f>-(K30+L30)</f>
        <v>-5940000</v>
      </c>
      <c r="K30" s="134">
        <v>4158000</v>
      </c>
      <c r="L30" s="134">
        <v>1782000</v>
      </c>
      <c r="M30" s="135">
        <v>540000</v>
      </c>
      <c r="N30" s="52">
        <f t="shared" si="2"/>
        <v>5480000</v>
      </c>
      <c r="O30" s="149">
        <f t="shared" si="0"/>
        <v>5480000</v>
      </c>
      <c r="P30" s="136"/>
      <c r="Q30" s="136">
        <v>27167.88</v>
      </c>
      <c r="R30" s="150">
        <f>25893.69+16897.99+11560.85+10886.43+11249.31+10886.43+10786.84+11249.31+11060.89+11635.62+11260.27+11822.54</f>
        <v>155190.17</v>
      </c>
      <c r="S30" s="137">
        <f>27167.88+25893.69+16897.99+11560.85+10886.43+11249.31+10886.43+10786.84+11249.31+11060.89+11635.62+11260.27+11822.54</f>
        <v>182358.05</v>
      </c>
      <c r="T30" s="32">
        <f t="shared" si="1"/>
        <v>0</v>
      </c>
      <c r="U30" s="48">
        <f t="shared" si="3"/>
        <v>5480000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12000000</v>
      </c>
      <c r="J31" s="134">
        <f>-(K31+L31)</f>
        <v>-5500000</v>
      </c>
      <c r="K31" s="134">
        <v>3850000</v>
      </c>
      <c r="L31" s="134">
        <v>1650000</v>
      </c>
      <c r="M31" s="135">
        <v>500000</v>
      </c>
      <c r="N31" s="52">
        <f t="shared" si="2"/>
        <v>6000000</v>
      </c>
      <c r="O31" s="149">
        <f t="shared" si="0"/>
        <v>6000000</v>
      </c>
      <c r="P31" s="136"/>
      <c r="Q31" s="136">
        <v>27258.74</v>
      </c>
      <c r="R31" s="150">
        <f>26006.92+17445.19+12657.86+11919.45+12316.77+11919.45+12316.77+12316.77+12110.46+12739.73+12328.77+12944.38</f>
        <v>167022.52000000002</v>
      </c>
      <c r="S31" s="137">
        <f>27258.74+26006.92+17445.19+12657.86+11919.45+12316.77+11919.45+12316.77+12316.77+12110.46+12739.73+12328.77+12944.38</f>
        <v>194281.25999999998</v>
      </c>
      <c r="T31" s="32">
        <f t="shared" si="1"/>
        <v>0</v>
      </c>
      <c r="U31" s="48">
        <f>O31+T31</f>
        <v>6000000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>
        <v>-515.1</v>
      </c>
      <c r="R32" s="150">
        <f>9236.09+515.1+9912.81</f>
        <v>19664</v>
      </c>
      <c r="S32" s="137">
        <f>9236.09+9912.81</f>
        <v>19148.9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20000000</v>
      </c>
      <c r="J33" s="134">
        <f>-(K33+L33)</f>
        <v>-7854000</v>
      </c>
      <c r="K33" s="134">
        <v>5497800</v>
      </c>
      <c r="L33" s="134">
        <v>2356200</v>
      </c>
      <c r="M33" s="135"/>
      <c r="N33" s="52">
        <f t="shared" si="2"/>
        <v>12146000</v>
      </c>
      <c r="O33" s="149">
        <f t="shared" si="0"/>
        <v>12146000</v>
      </c>
      <c r="P33" s="136"/>
      <c r="Q33" s="136">
        <v>-1281.08</v>
      </c>
      <c r="R33" s="150">
        <f>173272.55+1281.08+151332.83</f>
        <v>325886.45999999996</v>
      </c>
      <c r="S33" s="137">
        <f>173272.55+151332.83</f>
        <v>324605.38</v>
      </c>
      <c r="T33" s="32">
        <f t="shared" si="1"/>
        <v>0</v>
      </c>
      <c r="U33" s="48">
        <f t="shared" si="3"/>
        <v>12146000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1400000</v>
      </c>
      <c r="J34" s="134">
        <f>-(K34+L34)</f>
        <v>-506000</v>
      </c>
      <c r="K34" s="134">
        <v>354200</v>
      </c>
      <c r="L34" s="134">
        <v>151800</v>
      </c>
      <c r="M34" s="135"/>
      <c r="N34" s="52">
        <f t="shared" si="2"/>
        <v>894000</v>
      </c>
      <c r="O34" s="149">
        <f t="shared" si="0"/>
        <v>894000</v>
      </c>
      <c r="P34" s="136"/>
      <c r="Q34" s="136">
        <v>-89.68</v>
      </c>
      <c r="R34" s="150">
        <f>12524.23+89.68+11138.78</f>
        <v>23752.690000000002</v>
      </c>
      <c r="S34" s="137">
        <f>12524.23+11138.78</f>
        <v>23663.010000000002</v>
      </c>
      <c r="T34" s="32">
        <f t="shared" si="1"/>
        <v>0</v>
      </c>
      <c r="U34" s="48">
        <f>O34+T34</f>
        <v>894000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10000000</v>
      </c>
      <c r="J35" s="134">
        <f>-(K35+L35)</f>
        <v>-3080000</v>
      </c>
      <c r="K35" s="134">
        <v>2156000</v>
      </c>
      <c r="L35" s="134">
        <v>924000</v>
      </c>
      <c r="M35" s="135"/>
      <c r="N35" s="52">
        <f t="shared" si="2"/>
        <v>6920000</v>
      </c>
      <c r="O35" s="149">
        <f t="shared" si="0"/>
        <v>6920000</v>
      </c>
      <c r="P35" s="155" t="s">
        <v>61</v>
      </c>
      <c r="Q35" s="136">
        <v>4246.03</v>
      </c>
      <c r="R35" s="150">
        <f>94921.84+86219.6</f>
        <v>181141.44</v>
      </c>
      <c r="S35" s="137">
        <f>4246.03+94921.84+86219.6</f>
        <v>185387.47</v>
      </c>
      <c r="T35" s="32">
        <f t="shared" si="1"/>
        <v>0</v>
      </c>
      <c r="U35" s="48">
        <f t="shared" si="3"/>
        <v>6920000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14</v>
      </c>
      <c r="B36" s="42" t="s">
        <v>15</v>
      </c>
      <c r="C36" s="51" t="s">
        <v>72</v>
      </c>
      <c r="D36" s="51" t="s">
        <v>34</v>
      </c>
      <c r="E36" s="44">
        <v>0</v>
      </c>
      <c r="F36" s="45" t="s">
        <v>73</v>
      </c>
      <c r="G36" s="45"/>
      <c r="H36" s="46" t="s">
        <v>28</v>
      </c>
      <c r="I36" s="135"/>
      <c r="J36" s="134">
        <v>48747000</v>
      </c>
      <c r="K36" s="134"/>
      <c r="L36" s="134"/>
      <c r="M36" s="135">
        <f>1625000+1625000+1625000+600000+700000+325000+1625000+1625000+1625000+1625000+1624100+34122900</f>
        <v>48747000</v>
      </c>
      <c r="N36" s="52">
        <f>I36+J36-M36</f>
        <v>0</v>
      </c>
      <c r="O36" s="149">
        <f>N36</f>
        <v>0</v>
      </c>
      <c r="P36" s="155"/>
      <c r="Q36" s="136"/>
      <c r="R36" s="150">
        <f>30981.79</f>
        <v>30981.79</v>
      </c>
      <c r="S36" s="137">
        <f>30981.79</f>
        <v>30981.79</v>
      </c>
      <c r="T36" s="32">
        <f>Q36+R36-S36</f>
        <v>0</v>
      </c>
      <c r="U36" s="48">
        <f>O36+T36</f>
        <v>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/>
      <c r="J37" s="134">
        <v>2500000</v>
      </c>
      <c r="K37" s="134"/>
      <c r="L37" s="134"/>
      <c r="M37" s="135">
        <v>0</v>
      </c>
      <c r="N37" s="52">
        <f t="shared" si="2"/>
        <v>2500000</v>
      </c>
      <c r="O37" s="149">
        <f t="shared" si="0"/>
        <v>2500000</v>
      </c>
      <c r="P37" s="155"/>
      <c r="Q37" s="136"/>
      <c r="R37" s="150">
        <v>18235.96</v>
      </c>
      <c r="S37" s="137">
        <v>18235.96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103924000</v>
      </c>
      <c r="J38" s="133">
        <f>SUM(J23:J37)</f>
        <v>2500000</v>
      </c>
      <c r="K38" s="133">
        <f aca="true" t="shared" si="4" ref="K38:Q38">SUM(K23:K37)</f>
        <v>34122900</v>
      </c>
      <c r="L38" s="133">
        <f t="shared" si="4"/>
        <v>14624100</v>
      </c>
      <c r="M38" s="133">
        <f t="shared" si="4"/>
        <v>52820000</v>
      </c>
      <c r="N38" s="133">
        <f t="shared" si="4"/>
        <v>53604000</v>
      </c>
      <c r="O38" s="133">
        <f t="shared" si="4"/>
        <v>53604000</v>
      </c>
      <c r="P38" s="133">
        <f>SUM(P23:P37)</f>
        <v>0</v>
      </c>
      <c r="Q38" s="133">
        <f t="shared" si="4"/>
        <v>121972.45</v>
      </c>
      <c r="R38" s="133">
        <f>SUM(R23:R37)</f>
        <v>1011028.76</v>
      </c>
      <c r="S38" s="133">
        <f>SUM(S23:S37)</f>
        <v>1133001.21</v>
      </c>
      <c r="T38" s="133">
        <f>SUM(T23:T37)</f>
        <v>0</v>
      </c>
      <c r="U38" s="133">
        <f>SUM(U23:U37)</f>
        <v>53604000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>
        <v>0.09</v>
      </c>
      <c r="R40" s="3">
        <f>80050.59-0.09+72303.77+80050.59+77468.32+80050.59+77468.32+80050.6+80050.59+77468.32+80050.59+77468.32+80050.59</f>
        <v>942531.1</v>
      </c>
      <c r="S40" s="3">
        <f>80050.59+72303.77+80050.59+77468.32+80050.59+77468.32+80050.6+80050.59+77468.32+80050.59+77468.32+80050.59</f>
        <v>942531.1899999998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0</v>
      </c>
      <c r="J41" s="152">
        <v>16000000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115213.81+132282.52+128015.34+132282.52</f>
        <v>507794.18999999994</v>
      </c>
      <c r="S41" s="3">
        <f>115213.81+132282.52+128015.34+132282.52</f>
        <v>507794.18999999994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10000000</v>
      </c>
      <c r="J42" s="5">
        <f aca="true" t="shared" si="5" ref="J42:AY42">J40+J41</f>
        <v>16000000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0.09</v>
      </c>
      <c r="R42" s="5">
        <f t="shared" si="5"/>
        <v>1450325.29</v>
      </c>
      <c r="S42" s="5">
        <f t="shared" si="5"/>
        <v>1450325.38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113924000</v>
      </c>
      <c r="J46" s="23">
        <f t="shared" si="6"/>
        <v>18500000</v>
      </c>
      <c r="K46" s="23">
        <f t="shared" si="6"/>
        <v>34122900</v>
      </c>
      <c r="L46" s="23">
        <f t="shared" si="6"/>
        <v>14624100</v>
      </c>
      <c r="M46" s="23">
        <f t="shared" si="6"/>
        <v>52820000</v>
      </c>
      <c r="N46" s="23">
        <f t="shared" si="6"/>
        <v>79604000</v>
      </c>
      <c r="O46" s="23">
        <f t="shared" si="6"/>
        <v>79604000</v>
      </c>
      <c r="P46" s="23">
        <f t="shared" si="6"/>
        <v>0</v>
      </c>
      <c r="Q46" s="23">
        <f t="shared" si="6"/>
        <v>121972.54</v>
      </c>
      <c r="R46" s="23">
        <f t="shared" si="6"/>
        <v>2461354.05</v>
      </c>
      <c r="S46" s="23">
        <f t="shared" si="6"/>
        <v>2583326.59</v>
      </c>
      <c r="T46" s="23">
        <f t="shared" si="6"/>
        <v>0</v>
      </c>
      <c r="U46" s="23">
        <f t="shared" si="6"/>
        <v>79604000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6">
      <pane ySplit="3090" topLeftCell="A1" activePane="bottomLeft" state="split"/>
      <selection pane="topLeft" activeCell="N8" sqref="N8"/>
      <selection pane="bottomLeft" activeCell="O8" sqref="O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36</v>
      </c>
      <c r="K8" s="11" t="s">
        <v>70</v>
      </c>
      <c r="L8" s="11" t="s">
        <v>71</v>
      </c>
      <c r="M8" s="11" t="s">
        <v>40</v>
      </c>
      <c r="N8" s="11" t="s">
        <v>86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v>785000</v>
      </c>
      <c r="N30" s="52">
        <f aca="true" t="shared" si="2" ref="N30:N37">I30+J30-M30</f>
        <v>4695000</v>
      </c>
      <c r="O30" s="149">
        <f t="shared" si="0"/>
        <v>4695000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7">O30+T30</f>
        <v>4695000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v>500000</v>
      </c>
      <c r="N31" s="52">
        <f t="shared" si="2"/>
        <v>5500000</v>
      </c>
      <c r="O31" s="149">
        <f t="shared" si="0"/>
        <v>5500000</v>
      </c>
      <c r="P31" s="136"/>
      <c r="Q31" s="136"/>
      <c r="R31" s="150"/>
      <c r="S31" s="137"/>
      <c r="T31" s="32">
        <f t="shared" si="1"/>
        <v>0</v>
      </c>
      <c r="U31" s="48">
        <f>O31+T31</f>
        <v>5500000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v>714000</v>
      </c>
      <c r="N33" s="52">
        <f t="shared" si="2"/>
        <v>11432000</v>
      </c>
      <c r="O33" s="149">
        <f t="shared" si="0"/>
        <v>11432000</v>
      </c>
      <c r="P33" s="136"/>
      <c r="Q33" s="136"/>
      <c r="R33" s="150"/>
      <c r="S33" s="137"/>
      <c r="T33" s="32">
        <f t="shared" si="1"/>
        <v>0</v>
      </c>
      <c r="U33" s="48">
        <f t="shared" si="3"/>
        <v>11432000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v>46000</v>
      </c>
      <c r="N34" s="52">
        <f t="shared" si="2"/>
        <v>848000</v>
      </c>
      <c r="O34" s="149">
        <f t="shared" si="0"/>
        <v>848000</v>
      </c>
      <c r="P34" s="136"/>
      <c r="Q34" s="136"/>
      <c r="R34" s="150"/>
      <c r="S34" s="137"/>
      <c r="T34" s="32">
        <f t="shared" si="1"/>
        <v>0</v>
      </c>
      <c r="U34" s="48">
        <f>O34+T34</f>
        <v>848000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v>280000</v>
      </c>
      <c r="N35" s="52">
        <f t="shared" si="2"/>
        <v>6640000</v>
      </c>
      <c r="O35" s="149">
        <f t="shared" si="0"/>
        <v>6640000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6640000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2325000</v>
      </c>
      <c r="N38" s="133">
        <f t="shared" si="4"/>
        <v>51279000</v>
      </c>
      <c r="O38" s="133">
        <f t="shared" si="4"/>
        <v>51279000</v>
      </c>
      <c r="P38" s="133">
        <f>SUM(P23:P37)</f>
        <v>0</v>
      </c>
      <c r="Q38" s="133">
        <f t="shared" si="4"/>
        <v>0</v>
      </c>
      <c r="R38" s="133">
        <f>SUM(R23:R37)</f>
        <v>0</v>
      </c>
      <c r="S38" s="133">
        <f>SUM(S23:S37)</f>
        <v>0</v>
      </c>
      <c r="T38" s="133">
        <f>SUM(T23:T37)</f>
        <v>0</v>
      </c>
      <c r="U38" s="133">
        <f>SUM(U23:U37)</f>
        <v>51279000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/>
      <c r="S40" s="3"/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v>132282.52</v>
      </c>
      <c r="S41" s="3">
        <v>132282.52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132282.52</v>
      </c>
      <c r="S42" s="5">
        <f t="shared" si="5"/>
        <v>132282.52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2325000</v>
      </c>
      <c r="N46" s="23">
        <f t="shared" si="6"/>
        <v>77279000</v>
      </c>
      <c r="O46" s="23">
        <f t="shared" si="6"/>
        <v>77279000</v>
      </c>
      <c r="P46" s="23">
        <f t="shared" si="6"/>
        <v>0</v>
      </c>
      <c r="Q46" s="23">
        <f t="shared" si="6"/>
        <v>0</v>
      </c>
      <c r="R46" s="23">
        <f t="shared" si="6"/>
        <v>132282.52</v>
      </c>
      <c r="S46" s="23">
        <f t="shared" si="6"/>
        <v>132282.52</v>
      </c>
      <c r="T46" s="23">
        <f t="shared" si="6"/>
        <v>0</v>
      </c>
      <c r="U46" s="23">
        <f t="shared" si="6"/>
        <v>77279000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37">
      <selection activeCell="S40" sqref="S4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83</v>
      </c>
      <c r="K8" s="11" t="s">
        <v>70</v>
      </c>
      <c r="L8" s="11" t="s">
        <v>71</v>
      </c>
      <c r="M8" s="11" t="s">
        <v>84</v>
      </c>
      <c r="N8" s="11" t="s">
        <v>85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</f>
        <v>1570000</v>
      </c>
      <c r="N30" s="52">
        <f aca="true" t="shared" si="2" ref="N30:N37">I30+J30-M30</f>
        <v>3910000</v>
      </c>
      <c r="O30" s="149">
        <f t="shared" si="0"/>
        <v>3910000</v>
      </c>
      <c r="P30" s="136"/>
      <c r="Q30" s="136"/>
      <c r="R30" s="150">
        <v>11244.19</v>
      </c>
      <c r="S30" s="150">
        <v>11244.19</v>
      </c>
      <c r="T30" s="32">
        <f t="shared" si="1"/>
        <v>0</v>
      </c>
      <c r="U30" s="48">
        <f aca="true" t="shared" si="3" ref="U30:U37">O30+T30</f>
        <v>3910000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</f>
        <v>1000000</v>
      </c>
      <c r="N31" s="52">
        <f t="shared" si="2"/>
        <v>5000000</v>
      </c>
      <c r="O31" s="149">
        <f t="shared" si="0"/>
        <v>5000000</v>
      </c>
      <c r="P31" s="136"/>
      <c r="Q31" s="136"/>
      <c r="R31" s="150">
        <v>12667.32</v>
      </c>
      <c r="S31" s="150">
        <v>12667.32</v>
      </c>
      <c r="T31" s="32">
        <f t="shared" si="1"/>
        <v>0</v>
      </c>
      <c r="U31" s="48">
        <f>O31+T31</f>
        <v>5000000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</f>
        <v>1428000</v>
      </c>
      <c r="N33" s="52">
        <f t="shared" si="2"/>
        <v>10718000</v>
      </c>
      <c r="O33" s="149">
        <f t="shared" si="0"/>
        <v>10718000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10718000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</f>
        <v>92000</v>
      </c>
      <c r="N34" s="52">
        <f t="shared" si="2"/>
        <v>802000</v>
      </c>
      <c r="O34" s="149">
        <f t="shared" si="0"/>
        <v>802000</v>
      </c>
      <c r="P34" s="136"/>
      <c r="Q34" s="136"/>
      <c r="R34" s="150"/>
      <c r="S34" s="137"/>
      <c r="T34" s="32">
        <f t="shared" si="1"/>
        <v>0</v>
      </c>
      <c r="U34" s="48">
        <f>O34+T34</f>
        <v>802000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</f>
        <v>560000</v>
      </c>
      <c r="N35" s="52">
        <f t="shared" si="2"/>
        <v>6360000</v>
      </c>
      <c r="O35" s="149">
        <f t="shared" si="0"/>
        <v>6360000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6360000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4650000</v>
      </c>
      <c r="N38" s="133">
        <f t="shared" si="4"/>
        <v>48954000</v>
      </c>
      <c r="O38" s="133">
        <f t="shared" si="4"/>
        <v>48954000</v>
      </c>
      <c r="P38" s="133">
        <f>SUM(P23:P37)</f>
        <v>0</v>
      </c>
      <c r="Q38" s="133">
        <f t="shared" si="4"/>
        <v>0</v>
      </c>
      <c r="R38" s="133">
        <f>SUM(R23:R37)</f>
        <v>23911.510000000002</v>
      </c>
      <c r="S38" s="133">
        <f>SUM(S23:S37)</f>
        <v>23911.510000000002</v>
      </c>
      <c r="T38" s="133">
        <f>SUM(T23:T37)</f>
        <v>0</v>
      </c>
      <c r="U38" s="133">
        <f>SUM(U23:U37)</f>
        <v>48954000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v>80050.6</v>
      </c>
      <c r="S40" s="3">
        <v>80050.6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</f>
        <v>251763.51</v>
      </c>
      <c r="S41" s="3">
        <f>132282.52+119480.99</f>
        <v>251763.51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331814.11</v>
      </c>
      <c r="S42" s="5">
        <f t="shared" si="5"/>
        <v>331814.11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4650000</v>
      </c>
      <c r="N46" s="23">
        <f t="shared" si="6"/>
        <v>74954000</v>
      </c>
      <c r="O46" s="23">
        <f t="shared" si="6"/>
        <v>74954000</v>
      </c>
      <c r="P46" s="23">
        <f t="shared" si="6"/>
        <v>0</v>
      </c>
      <c r="Q46" s="23">
        <f t="shared" si="6"/>
        <v>0</v>
      </c>
      <c r="R46" s="23">
        <f t="shared" si="6"/>
        <v>355725.62</v>
      </c>
      <c r="S46" s="23">
        <f t="shared" si="6"/>
        <v>355725.62</v>
      </c>
      <c r="T46" s="23">
        <f t="shared" si="6"/>
        <v>0</v>
      </c>
      <c r="U46" s="23">
        <f t="shared" si="6"/>
        <v>74954000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40">
      <pane xSplit="21165" topLeftCell="O1" activePane="topLeft" state="split"/>
      <selection pane="topLeft" activeCell="R32" sqref="R32"/>
      <selection pane="topRight" activeCell="O22" sqref="O2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89</v>
      </c>
      <c r="K8" s="11" t="s">
        <v>70</v>
      </c>
      <c r="L8" s="11" t="s">
        <v>71</v>
      </c>
      <c r="M8" s="11" t="s">
        <v>90</v>
      </c>
      <c r="N8" s="11" t="s">
        <v>88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</f>
        <v>2355000</v>
      </c>
      <c r="N30" s="52">
        <f aca="true" t="shared" si="2" ref="N30:N37">I30+J30-M30</f>
        <v>3125000</v>
      </c>
      <c r="O30" s="149">
        <f t="shared" si="0"/>
        <v>3125000</v>
      </c>
      <c r="P30" s="136"/>
      <c r="Q30" s="136"/>
      <c r="R30" s="150">
        <f>11244.19+8136.45+7466.64</f>
        <v>26847.28</v>
      </c>
      <c r="S30" s="150">
        <f>11244.19+8136.45</f>
        <v>19380.64</v>
      </c>
      <c r="T30" s="32">
        <f t="shared" si="1"/>
        <v>7466.639999999999</v>
      </c>
      <c r="U30" s="48">
        <f aca="true" t="shared" si="3" ref="U30:U37">O30+T30</f>
        <v>3132466.64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</f>
        <v>1500000</v>
      </c>
      <c r="N31" s="52">
        <f t="shared" si="2"/>
        <v>4500000</v>
      </c>
      <c r="O31" s="149">
        <f t="shared" si="0"/>
        <v>4500000</v>
      </c>
      <c r="P31" s="136"/>
      <c r="Q31" s="136"/>
      <c r="R31" s="150">
        <f>12667.32+10155.08+10261.23</f>
        <v>33083.630000000005</v>
      </c>
      <c r="S31" s="150">
        <f>12667.32+10155.08</f>
        <v>22822.4</v>
      </c>
      <c r="T31" s="32">
        <f t="shared" si="1"/>
        <v>10261.230000000003</v>
      </c>
      <c r="U31" s="48">
        <f>O31+T31</f>
        <v>4510261.23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</f>
        <v>2142000</v>
      </c>
      <c r="N33" s="52">
        <f t="shared" si="2"/>
        <v>10004000</v>
      </c>
      <c r="O33" s="149">
        <f t="shared" si="0"/>
        <v>10004000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10004000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</f>
        <v>138000</v>
      </c>
      <c r="N34" s="52">
        <f t="shared" si="2"/>
        <v>756000</v>
      </c>
      <c r="O34" s="149">
        <f t="shared" si="0"/>
        <v>756000</v>
      </c>
      <c r="P34" s="136"/>
      <c r="Q34" s="136"/>
      <c r="R34" s="150"/>
      <c r="S34" s="137"/>
      <c r="T34" s="32">
        <f t="shared" si="1"/>
        <v>0</v>
      </c>
      <c r="U34" s="48">
        <f>O34+T34</f>
        <v>756000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</f>
        <v>840000</v>
      </c>
      <c r="N35" s="52">
        <f t="shared" si="2"/>
        <v>6080000</v>
      </c>
      <c r="O35" s="149">
        <f t="shared" si="0"/>
        <v>6080000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6080000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6975000</v>
      </c>
      <c r="N38" s="133">
        <f t="shared" si="4"/>
        <v>46629000</v>
      </c>
      <c r="O38" s="133">
        <f t="shared" si="4"/>
        <v>46629000</v>
      </c>
      <c r="P38" s="133">
        <f>SUM(P23:P37)</f>
        <v>0</v>
      </c>
      <c r="Q38" s="133">
        <f t="shared" si="4"/>
        <v>0</v>
      </c>
      <c r="R38" s="133">
        <f>SUM(R23:R37)</f>
        <v>59930.91</v>
      </c>
      <c r="S38" s="133">
        <f>SUM(S23:S37)</f>
        <v>42203.04</v>
      </c>
      <c r="T38" s="133">
        <f>SUM(T23:T37)</f>
        <v>17727.870000000003</v>
      </c>
      <c r="U38" s="133">
        <f>SUM(U23:U37)</f>
        <v>46646727.870000005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</f>
        <v>152354.37</v>
      </c>
      <c r="S40" s="3">
        <f>80050.6+72303.77</f>
        <v>152354.37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</f>
        <v>384046.03</v>
      </c>
      <c r="S41" s="3">
        <f>132282.52+119480.99+132282.52</f>
        <v>384046.03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536400.4</v>
      </c>
      <c r="S42" s="5">
        <f t="shared" si="5"/>
        <v>536400.4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6975000</v>
      </c>
      <c r="N46" s="23">
        <f t="shared" si="6"/>
        <v>72629000</v>
      </c>
      <c r="O46" s="23">
        <f t="shared" si="6"/>
        <v>72629000</v>
      </c>
      <c r="P46" s="23">
        <f t="shared" si="6"/>
        <v>0</v>
      </c>
      <c r="Q46" s="23">
        <f t="shared" si="6"/>
        <v>0</v>
      </c>
      <c r="R46" s="23">
        <f t="shared" si="6"/>
        <v>596331.31</v>
      </c>
      <c r="S46" s="23">
        <f t="shared" si="6"/>
        <v>578603.4400000001</v>
      </c>
      <c r="T46" s="23">
        <f t="shared" si="6"/>
        <v>17727.870000000003</v>
      </c>
      <c r="U46" s="23">
        <f t="shared" si="6"/>
        <v>72646727.87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G34">
      <selection activeCell="Q30" sqref="Q3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92</v>
      </c>
      <c r="K8" s="11" t="s">
        <v>70</v>
      </c>
      <c r="L8" s="11" t="s">
        <v>71</v>
      </c>
      <c r="M8" s="11" t="s">
        <v>93</v>
      </c>
      <c r="N8" s="11" t="s">
        <v>94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</f>
        <v>3140000</v>
      </c>
      <c r="N30" s="52">
        <f aca="true" t="shared" si="2" ref="N30:N37">I30+J30-M30</f>
        <v>2340000</v>
      </c>
      <c r="O30" s="149">
        <f t="shared" si="0"/>
        <v>2340000</v>
      </c>
      <c r="P30" s="136"/>
      <c r="Q30" s="136"/>
      <c r="R30" s="150">
        <f>11244.19+8136.45+7466.64+5356.72</f>
        <v>32204</v>
      </c>
      <c r="S30" s="150">
        <f>11244.19+8136.45+7466.64</f>
        <v>26847.28</v>
      </c>
      <c r="T30" s="32">
        <f t="shared" si="1"/>
        <v>5356.720000000001</v>
      </c>
      <c r="U30" s="48">
        <f aca="true" t="shared" si="3" ref="U30:U37">O30+T30</f>
        <v>2345356.72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</f>
        <v>2000000</v>
      </c>
      <c r="N31" s="52">
        <f t="shared" si="2"/>
        <v>4000000</v>
      </c>
      <c r="O31" s="149">
        <f t="shared" si="0"/>
        <v>4000000</v>
      </c>
      <c r="P31" s="136"/>
      <c r="Q31" s="136"/>
      <c r="R31" s="150">
        <f>12667.32+10155.08+10261.23+8739.74</f>
        <v>41823.37</v>
      </c>
      <c r="S31" s="150">
        <f>12667.32+10155.08+10261.23</f>
        <v>33083.630000000005</v>
      </c>
      <c r="T31" s="32">
        <f t="shared" si="1"/>
        <v>8739.739999999998</v>
      </c>
      <c r="U31" s="48">
        <f>O31+T31</f>
        <v>4008739.74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</f>
        <v>2856000</v>
      </c>
      <c r="N33" s="52">
        <f t="shared" si="2"/>
        <v>9290000</v>
      </c>
      <c r="O33" s="149">
        <f t="shared" si="0"/>
        <v>9290000</v>
      </c>
      <c r="P33" s="136"/>
      <c r="Q33" s="136"/>
      <c r="R33" s="150"/>
      <c r="S33" s="137"/>
      <c r="T33" s="32">
        <f t="shared" si="1"/>
        <v>0</v>
      </c>
      <c r="U33" s="48">
        <f t="shared" si="3"/>
        <v>9290000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</f>
        <v>184000</v>
      </c>
      <c r="N34" s="52">
        <f t="shared" si="2"/>
        <v>710000</v>
      </c>
      <c r="O34" s="149">
        <f t="shared" si="0"/>
        <v>710000</v>
      </c>
      <c r="P34" s="136"/>
      <c r="Q34" s="136"/>
      <c r="R34" s="150"/>
      <c r="S34" s="137"/>
      <c r="T34" s="32">
        <f t="shared" si="1"/>
        <v>0</v>
      </c>
      <c r="U34" s="48">
        <f>O34+T34</f>
        <v>710000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</f>
        <v>1120000</v>
      </c>
      <c r="N35" s="52">
        <f t="shared" si="2"/>
        <v>5800000</v>
      </c>
      <c r="O35" s="149">
        <f t="shared" si="0"/>
        <v>5800000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5800000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9300000</v>
      </c>
      <c r="N38" s="133">
        <f t="shared" si="4"/>
        <v>44304000</v>
      </c>
      <c r="O38" s="133">
        <f t="shared" si="4"/>
        <v>44304000</v>
      </c>
      <c r="P38" s="133">
        <f>SUM(P23:P37)</f>
        <v>0</v>
      </c>
      <c r="Q38" s="133">
        <f t="shared" si="4"/>
        <v>0</v>
      </c>
      <c r="R38" s="133">
        <f>SUM(R23:R37)</f>
        <v>74027.37</v>
      </c>
      <c r="S38" s="133">
        <f>SUM(S23:S37)</f>
        <v>59930.91</v>
      </c>
      <c r="T38" s="133">
        <f>SUM(T23:T37)</f>
        <v>14096.46</v>
      </c>
      <c r="U38" s="133">
        <f>SUM(U23:U37)</f>
        <v>44318096.46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</f>
        <v>232404.96</v>
      </c>
      <c r="S40" s="3">
        <f>80050.6+72303.77+80050.59</f>
        <v>232404.96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</f>
        <v>512061.37</v>
      </c>
      <c r="S41" s="3">
        <f>132282.52+119480.99+132282.52+128015.34</f>
        <v>512061.37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744466.33</v>
      </c>
      <c r="S42" s="5">
        <f t="shared" si="5"/>
        <v>744466.33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9300000</v>
      </c>
      <c r="N46" s="23">
        <f t="shared" si="6"/>
        <v>70304000</v>
      </c>
      <c r="O46" s="23">
        <f t="shared" si="6"/>
        <v>70304000</v>
      </c>
      <c r="P46" s="23">
        <f t="shared" si="6"/>
        <v>0</v>
      </c>
      <c r="Q46" s="23">
        <f t="shared" si="6"/>
        <v>0</v>
      </c>
      <c r="R46" s="23">
        <f t="shared" si="6"/>
        <v>818493.7</v>
      </c>
      <c r="S46" s="23">
        <f t="shared" si="6"/>
        <v>804397.24</v>
      </c>
      <c r="T46" s="23">
        <f t="shared" si="6"/>
        <v>14096.46</v>
      </c>
      <c r="U46" s="23">
        <f t="shared" si="6"/>
        <v>70318096.46000001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tabSelected="1" zoomScalePageLayoutView="0" workbookViewId="0" topLeftCell="E37">
      <selection activeCell="R37" sqref="R1:R1638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25390625" style="8" customWidth="1"/>
    <col min="9" max="9" width="16.625" style="8" customWidth="1"/>
    <col min="10" max="10" width="15.75390625" style="8" customWidth="1"/>
    <col min="11" max="12" width="13.125" style="8" hidden="1" customWidth="1"/>
    <col min="13" max="13" width="14.625" style="8" customWidth="1"/>
    <col min="14" max="14" width="17.375" style="8" customWidth="1"/>
    <col min="15" max="15" width="18.00390625" style="8" customWidth="1"/>
    <col min="16" max="16" width="6.625" style="8" customWidth="1"/>
    <col min="17" max="17" width="14.00390625" style="8" customWidth="1"/>
    <col min="18" max="18" width="13.625" style="8" customWidth="1"/>
    <col min="19" max="20" width="14.125" style="8" customWidth="1"/>
    <col min="21" max="21" width="17.00390625" style="8" customWidth="1"/>
    <col min="22" max="22" width="2.625" style="8" hidden="1" customWidth="1"/>
    <col min="23" max="23" width="15.125" style="8" hidden="1" customWidth="1"/>
    <col min="24" max="24" width="12.875" style="8" hidden="1" customWidth="1"/>
    <col min="25" max="25" width="11.75390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7" t="s">
        <v>26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96</v>
      </c>
      <c r="K8" s="11" t="s">
        <v>70</v>
      </c>
      <c r="L8" s="11" t="s">
        <v>71</v>
      </c>
      <c r="M8" s="11" t="s">
        <v>97</v>
      </c>
      <c r="N8" s="11" t="s">
        <v>98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59" t="s">
        <v>25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1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7">I30+J30-M30</f>
        <v>1560000</v>
      </c>
      <c r="O30" s="149">
        <f t="shared" si="0"/>
        <v>1560000</v>
      </c>
      <c r="P30" s="136"/>
      <c r="Q30" s="136"/>
      <c r="R30" s="150">
        <f>11244.19+8136.45+7466.64+5356.72+4250.3</f>
        <v>36454.3</v>
      </c>
      <c r="S30" s="150">
        <f>11244.19+8136.45+7466.64+5356.72</f>
        <v>32204</v>
      </c>
      <c r="T30" s="32">
        <f t="shared" si="1"/>
        <v>4250.300000000003</v>
      </c>
      <c r="U30" s="48">
        <f aca="true" t="shared" si="3" ref="U30:U37">O30+T30</f>
        <v>1564250.3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500000+500000+500000+500000+500000</f>
        <v>2500000</v>
      </c>
      <c r="N31" s="52">
        <f t="shared" si="2"/>
        <v>3500000</v>
      </c>
      <c r="O31" s="149">
        <f t="shared" si="0"/>
        <v>3500000</v>
      </c>
      <c r="P31" s="136"/>
      <c r="Q31" s="136"/>
      <c r="R31" s="150">
        <f>12667.32+10155.08+10261.23+8739.74+8208.96</f>
        <v>50032.33</v>
      </c>
      <c r="S31" s="150">
        <f>12667.32+10155.08+10261.23+8739.74</f>
        <v>41823.37</v>
      </c>
      <c r="T31" s="32">
        <f t="shared" si="1"/>
        <v>8208.96</v>
      </c>
      <c r="U31" s="48">
        <f>O31+T31</f>
        <v>3508208.96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8576000</v>
      </c>
      <c r="O33" s="149">
        <f t="shared" si="0"/>
        <v>8576000</v>
      </c>
      <c r="P33" s="136"/>
      <c r="Q33" s="136"/>
      <c r="R33" s="150"/>
      <c r="S33" s="137"/>
      <c r="T33" s="32">
        <f t="shared" si="1"/>
        <v>0</v>
      </c>
      <c r="U33" s="48">
        <f t="shared" si="3"/>
        <v>8576000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664000</v>
      </c>
      <c r="O34" s="149">
        <f t="shared" si="0"/>
        <v>664000</v>
      </c>
      <c r="P34" s="136"/>
      <c r="Q34" s="136"/>
      <c r="R34" s="150"/>
      <c r="S34" s="137"/>
      <c r="T34" s="32">
        <f t="shared" si="1"/>
        <v>0</v>
      </c>
      <c r="U34" s="48">
        <f>O34+T34</f>
        <v>664000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5520000</v>
      </c>
      <c r="O35" s="149">
        <f t="shared" si="0"/>
        <v>5520000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5520000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11620000</v>
      </c>
      <c r="N38" s="133">
        <f t="shared" si="4"/>
        <v>41984000</v>
      </c>
      <c r="O38" s="133">
        <f t="shared" si="4"/>
        <v>41984000</v>
      </c>
      <c r="P38" s="133">
        <f>SUM(P23:P37)</f>
        <v>0</v>
      </c>
      <c r="Q38" s="133">
        <f t="shared" si="4"/>
        <v>0</v>
      </c>
      <c r="R38" s="133">
        <f>SUM(R23:R37)</f>
        <v>86486.63</v>
      </c>
      <c r="S38" s="133">
        <f>SUM(S23:S37)</f>
        <v>74027.37</v>
      </c>
      <c r="T38" s="133">
        <f>SUM(T23:T37)</f>
        <v>12459.260000000002</v>
      </c>
      <c r="U38" s="133">
        <f>SUM(U23:U37)</f>
        <v>41996459.26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80050.6+72303.77+80050.59+77468.32</f>
        <v>309873.28</v>
      </c>
      <c r="S40" s="3">
        <f>80050.6+72303.77+80050.59+77468.32</f>
        <v>309873.28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132282.52+119480.99+132282.52+128015.34+132282.52</f>
        <v>644343.89</v>
      </c>
      <c r="S41" s="3">
        <f>132282.52+119480.99+132282.52+128015.34+132282.52</f>
        <v>644343.89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954217.17</v>
      </c>
      <c r="S42" s="5">
        <f t="shared" si="5"/>
        <v>954217.17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11620000</v>
      </c>
      <c r="N46" s="23">
        <f t="shared" si="6"/>
        <v>67984000</v>
      </c>
      <c r="O46" s="23">
        <f t="shared" si="6"/>
        <v>67984000</v>
      </c>
      <c r="P46" s="23">
        <f t="shared" si="6"/>
        <v>0</v>
      </c>
      <c r="Q46" s="23">
        <f t="shared" si="6"/>
        <v>0</v>
      </c>
      <c r="R46" s="23">
        <f t="shared" si="6"/>
        <v>1040703.8</v>
      </c>
      <c r="S46" s="23">
        <f t="shared" si="6"/>
        <v>1028244.54</v>
      </c>
      <c r="T46" s="23">
        <f t="shared" si="6"/>
        <v>12459.260000000002</v>
      </c>
      <c r="U46" s="23">
        <f t="shared" si="6"/>
        <v>67996459.25999999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8.7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8.7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8.7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2019-03-01T12:22:01Z</cp:lastPrinted>
  <dcterms:created xsi:type="dcterms:W3CDTF">2000-01-05T08:20:30Z</dcterms:created>
  <dcterms:modified xsi:type="dcterms:W3CDTF">2019-06-04T06:48:30Z</dcterms:modified>
  <cp:category/>
  <cp:version/>
  <cp:contentType/>
  <cp:contentStatus/>
</cp:coreProperties>
</file>