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9720" windowHeight="4560" tabRatio="902" firstSheet="5" activeTab="9"/>
  </bookViews>
  <sheets>
    <sheet name="01,01,19" sheetId="1" r:id="rId1"/>
    <sheet name="01,02,19" sheetId="2" r:id="rId2"/>
    <sheet name="01,03,19 " sheetId="3" r:id="rId3"/>
    <sheet name="01,04,19  " sheetId="4" r:id="rId4"/>
    <sheet name="01,05,19  " sheetId="5" r:id="rId5"/>
    <sheet name="01,06,19  " sheetId="6" r:id="rId6"/>
    <sheet name="01,07,19   " sheetId="7" r:id="rId7"/>
    <sheet name="01,08.19    " sheetId="8" r:id="rId8"/>
    <sheet name="01,09.19    " sheetId="9" r:id="rId9"/>
    <sheet name="01,10.19    " sheetId="10" r:id="rId10"/>
    <sheet name="Лист1" sheetId="11" r:id="rId11"/>
  </sheets>
  <definedNames>
    <definedName name="С55" localSheetId="0">#REF!</definedName>
    <definedName name="С55" localSheetId="1">#REF!</definedName>
    <definedName name="С55" localSheetId="2">#REF!</definedName>
    <definedName name="С55" localSheetId="3">#REF!</definedName>
    <definedName name="С55" localSheetId="4">#REF!</definedName>
    <definedName name="С55" localSheetId="5">#REF!</definedName>
    <definedName name="С55" localSheetId="6">#REF!</definedName>
    <definedName name="С55" localSheetId="7">#REF!</definedName>
    <definedName name="С55" localSheetId="8">#REF!</definedName>
    <definedName name="С55" localSheetId="9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<sst xmlns="http://schemas.openxmlformats.org/spreadsheetml/2006/main" count="1037" uniqueCount="121">
  <si>
    <t>Номер п/п</t>
  </si>
  <si>
    <t xml:space="preserve">Дата возникновения (исполнения) обязательства по договору, № документа </t>
  </si>
  <si>
    <t>Объем долгового обязательства по договору (рубли)</t>
  </si>
  <si>
    <t xml:space="preserve">Срок  погашения долгового обязательства </t>
  </si>
  <si>
    <t>Форма обеспечения обязательства, № документа</t>
  </si>
  <si>
    <t>IV.</t>
  </si>
  <si>
    <t>Наименование кредитора (принципала)</t>
  </si>
  <si>
    <t>I.</t>
  </si>
  <si>
    <t>II.</t>
  </si>
  <si>
    <t xml:space="preserve"> </t>
  </si>
  <si>
    <t xml:space="preserve">Процентная ставка </t>
  </si>
  <si>
    <t xml:space="preserve">Муниципальные займы, осуществляемые путем выпуска ценных бумаг </t>
  </si>
  <si>
    <t>МУНИЦИПАЛЬНАЯ ДОЛГОВАЯ КНИГА</t>
  </si>
  <si>
    <t>руб.</t>
  </si>
  <si>
    <t>исполнитель Токко О.В.</t>
  </si>
  <si>
    <t>Бюджетный кредит</t>
  </si>
  <si>
    <t>Всего муниципальный долг</t>
  </si>
  <si>
    <t>Наименование долгового обязательства</t>
  </si>
  <si>
    <t>Всего муниципальный долг на конец отчетного периода</t>
  </si>
  <si>
    <t xml:space="preserve">III. Договоры и соглашения о получении бюджетных  кредитов от бюджетов других уровней </t>
  </si>
  <si>
    <t>тел.4-19-03</t>
  </si>
  <si>
    <t>Итого по разделу</t>
  </si>
  <si>
    <t xml:space="preserve"> Муниципальных гарантий </t>
  </si>
  <si>
    <t>Кредиты, полученные муниципальным образованием от кредитных организаций</t>
  </si>
  <si>
    <t>Бюджетные кредиты, привлеченные в местный бюджет от других бюджетов бюджетной системы Российской Федерации</t>
  </si>
  <si>
    <t>Муниципальные ценные бумаги</t>
  </si>
  <si>
    <t>Олонецкого национального муниципального района</t>
  </si>
  <si>
    <t xml:space="preserve">Начальник  районного финансового управления </t>
  </si>
  <si>
    <t>Казна муниципального образования</t>
  </si>
  <si>
    <t xml:space="preserve">Остаток долга по процентам на начало года </t>
  </si>
  <si>
    <t>Погашено процентов и пеней с начала отчетного периода</t>
  </si>
  <si>
    <t>Начислено процентов и пеней с начала отчетного периода</t>
  </si>
  <si>
    <t xml:space="preserve">Остаток долга по процентам и пеням  на конец отчетн. периода  </t>
  </si>
  <si>
    <t xml:space="preserve">Остаток долговых обязательств  на конец отчетн. периода  </t>
  </si>
  <si>
    <t>Министерство Финансов Республики Карелия</t>
  </si>
  <si>
    <t>Глава Олонецкого национального муниципального района</t>
  </si>
  <si>
    <t>Образование долгового обязательства  за отчетный период (январь)</t>
  </si>
  <si>
    <t>№9-1/13 от 09.08.2013г</t>
  </si>
  <si>
    <t>№9-2/13 от 2412.2013г</t>
  </si>
  <si>
    <t>С.К. Прокопьев</t>
  </si>
  <si>
    <t>Погашение долгового  обязательства за отчетный период (январь)</t>
  </si>
  <si>
    <t>ПАО "Совкомбанк"</t>
  </si>
  <si>
    <t>20.11.2018г.</t>
  </si>
  <si>
    <t xml:space="preserve">Т.Н.Столярова </t>
  </si>
  <si>
    <t>№9-1/16 от03.08.2016 год</t>
  </si>
  <si>
    <t>22.07.2019г.</t>
  </si>
  <si>
    <t>№9-2/16 от23.12.2016 год</t>
  </si>
  <si>
    <t>№9-2/14 р (к дог 9-2/14 от 10.07.2014г.) от 24.06.2016г.</t>
  </si>
  <si>
    <t>№9-1/14 р (к дог 9-1/14 от 11.03.2014г.) от 24.06.2016г.</t>
  </si>
  <si>
    <t>Соглашение о реструктуризации №9-1\17р от 23.01.2017г.</t>
  </si>
  <si>
    <t>15.12.2021г.</t>
  </si>
  <si>
    <t xml:space="preserve"> №9-1\17р от 19.06.2017г.</t>
  </si>
  <si>
    <t>23.06.2020г.</t>
  </si>
  <si>
    <t>23.06.2020 г</t>
  </si>
  <si>
    <t>20.12.2018г.</t>
  </si>
  <si>
    <t xml:space="preserve"> №9-2\17р от 11.08.2017г.</t>
  </si>
  <si>
    <t>ставка по кредиту (%)</t>
  </si>
  <si>
    <t>Образование долгового обязательства  за отчетный период (январь-декабрь)</t>
  </si>
  <si>
    <t>Погашение долгового  обязательства за отчетный период (январь-декабрь)</t>
  </si>
  <si>
    <t>Остаток долгового обязательства на конец отчетного периода (1.01.2018)</t>
  </si>
  <si>
    <t xml:space="preserve"> №9-3\17 от 25.12.2017г.</t>
  </si>
  <si>
    <t>1/3</t>
  </si>
  <si>
    <t>9,43</t>
  </si>
  <si>
    <t>№0106300009117000049 от 19.12.2017г.</t>
  </si>
  <si>
    <t>АКБ "НООСФЕРА"</t>
  </si>
  <si>
    <t>19.02.2020г.</t>
  </si>
  <si>
    <t>№9-1/15 от 15.06.2015г.</t>
  </si>
  <si>
    <t>№9-3/15 от 10.11.2015 год</t>
  </si>
  <si>
    <t>№9-4/15 от 24.12.2015 год</t>
  </si>
  <si>
    <t>Остаток долгового обязательства на начало отчетного периода (1.01.2018)</t>
  </si>
  <si>
    <t>Списаны долговые обязательства</t>
  </si>
  <si>
    <t>реструктуризированны долговые обязательства</t>
  </si>
  <si>
    <t>№9-1/18р от 16.02.18г. (реструктуризация)</t>
  </si>
  <si>
    <t>15.11.2018г.</t>
  </si>
  <si>
    <t>№0106300009118000048 от 31.08.2018г.</t>
  </si>
  <si>
    <t>9,73</t>
  </si>
  <si>
    <t>31.08.2020г.</t>
  </si>
  <si>
    <t>25.08.2021г.</t>
  </si>
  <si>
    <t xml:space="preserve">№9-1/18 от 10.09.18г. </t>
  </si>
  <si>
    <t>по состоянию на  1.01.2019 года</t>
  </si>
  <si>
    <t>по состоянию на  1.02.2019 года</t>
  </si>
  <si>
    <t>Остаток долгового обязательства на начало отчетного периода (1.01.2019)</t>
  </si>
  <si>
    <t>по состоянию на  1.03.2019 года</t>
  </si>
  <si>
    <t>Образование долгового обязательства  за отчетный период (февраль)</t>
  </si>
  <si>
    <t>Погашение долгового  обязательства за отчетный период (февраль)</t>
  </si>
  <si>
    <t>Остаток долгового обязательства на конец отчетного периода (1.03.2019)</t>
  </si>
  <si>
    <t>Остаток долгового обязательства на конец отчетного периода (1.02.2019)</t>
  </si>
  <si>
    <t>по состоянию на  1.04.2019 года</t>
  </si>
  <si>
    <t>Остаток долгового обязательства на конец отчетного периода (1.04.2019)</t>
  </si>
  <si>
    <t>Образование долгового обязательства  за отчетный период (март)</t>
  </si>
  <si>
    <t>Погашение долгового  обязательства за отчетный период (март)</t>
  </si>
  <si>
    <t>по состоянию на  1.05.2019 года</t>
  </si>
  <si>
    <t>Образование долгового обязательства  за отчетный период (апрель)</t>
  </si>
  <si>
    <t>Погашение долгового  обязательства за отчетный период (апрель)</t>
  </si>
  <si>
    <t>Остаток долгового обязательства на конец отчетного периода (1.05.2019)</t>
  </si>
  <si>
    <t>по состоянию на  1.06.2019 года</t>
  </si>
  <si>
    <t>Образование долгового обязательства  за отчетный период (май)</t>
  </si>
  <si>
    <t>Погашение долгового  обязательства за отчетный период (май)</t>
  </si>
  <si>
    <t>Остаток долгового обязательства на конец отчетного периода (1.06.2019)</t>
  </si>
  <si>
    <t>по состоянию на  1.07.2019 года</t>
  </si>
  <si>
    <t>Образование долгового обязательства  за отчетный период (июнь)</t>
  </si>
  <si>
    <t>Погашение долгового  обязательства за отчетный период (июнь)</t>
  </si>
  <si>
    <t>Остаток долгового обязательства на конец отчетного периода (1.07.2019)</t>
  </si>
  <si>
    <t xml:space="preserve">№9-1/19р от 11.06.19г. </t>
  </si>
  <si>
    <t>25.12.2021г.</t>
  </si>
  <si>
    <t>по состоянию на  1.08.2019 года</t>
  </si>
  <si>
    <t>Образование долгового обязательства  за отчетный период (июль)</t>
  </si>
  <si>
    <t>Погашение долгового  обязательства за отчетный период (июль)</t>
  </si>
  <si>
    <t>Остаток долгового обязательства на конец отчетного периода (1.08.2019)</t>
  </si>
  <si>
    <t>№0106300009119000047 от 16.07.2019г.</t>
  </si>
  <si>
    <t>ПАО "Сбербанк России"</t>
  </si>
  <si>
    <t>17.07.2021г.</t>
  </si>
  <si>
    <t>9,35</t>
  </si>
  <si>
    <t>по состоянию на  1.09.2019 года</t>
  </si>
  <si>
    <t>Образование долгового обязательства  за отчетный период (январь-август)</t>
  </si>
  <si>
    <t>Погашение долгового  обязательства за отчетный период (январь-август)</t>
  </si>
  <si>
    <t>Остаток долгового обязательства на конец отчетного периода (1.09.2019)</t>
  </si>
  <si>
    <t>по состоянию на  1.10.2019 года</t>
  </si>
  <si>
    <t>Образование долгового обязательства  за отчетный период (январь-сентябрь)</t>
  </si>
  <si>
    <t>Погашение долгового  обязательства за отчетный период (январь-сентябрь)</t>
  </si>
  <si>
    <t>Остаток долгового обязательства на конец отчетного периода (1.10.2019)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</si>
</sst>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b/>
      <i/>
      <sz val="8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2" fontId="13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2" fontId="13" fillId="0" borderId="1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72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36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172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/>
    </xf>
    <xf numFmtId="14" fontId="4" fillId="0" borderId="11" xfId="0" applyNumberFormat="1" applyFont="1" applyFill="1" applyBorder="1" applyAlignment="1">
      <alignment wrapText="1"/>
    </xf>
    <xf numFmtId="2" fontId="13" fillId="0" borderId="11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right" wrapText="1"/>
    </xf>
    <xf numFmtId="49" fontId="13" fillId="0" borderId="14" xfId="0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31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3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5">
      <pane ySplit="3090" topLeftCell="A29" activePane="bottomLeft" state="split"/>
      <selection pane="topLeft" activeCell="A5" sqref="A5"/>
      <selection pane="bottomLeft" activeCell="S38" sqref="S3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79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69</v>
      </c>
      <c r="J8" s="11" t="s">
        <v>57</v>
      </c>
      <c r="K8" s="11" t="s">
        <v>70</v>
      </c>
      <c r="L8" s="11" t="s">
        <v>71</v>
      </c>
      <c r="M8" s="11" t="s">
        <v>58</v>
      </c>
      <c r="N8" s="11" t="s">
        <v>59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>
        <v>0</v>
      </c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>
        <v>-49.72</v>
      </c>
      <c r="R23" s="5">
        <v>49.72</v>
      </c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>
      <c r="A24" s="50">
        <v>2</v>
      </c>
      <c r="B24" s="42" t="s">
        <v>15</v>
      </c>
      <c r="C24" s="51" t="s">
        <v>38</v>
      </c>
      <c r="D24" s="51" t="s">
        <v>34</v>
      </c>
      <c r="E24" s="44">
        <v>10000000</v>
      </c>
      <c r="F24" s="45" t="s">
        <v>52</v>
      </c>
      <c r="G24" s="45"/>
      <c r="H24" s="46" t="s">
        <v>28</v>
      </c>
      <c r="I24" s="32">
        <v>0</v>
      </c>
      <c r="J24" s="32"/>
      <c r="K24" s="32"/>
      <c r="L24" s="32"/>
      <c r="M24" s="32"/>
      <c r="N24" s="52">
        <f aca="true" t="shared" si="2" ref="N24:N37">I24+J24-M24</f>
        <v>0</v>
      </c>
      <c r="O24" s="47">
        <f t="shared" si="0"/>
        <v>0</v>
      </c>
      <c r="P24" s="7"/>
      <c r="Q24" s="7">
        <v>-164.25</v>
      </c>
      <c r="R24" s="5">
        <v>164.25</v>
      </c>
      <c r="S24" s="5"/>
      <c r="T24" s="6">
        <f t="shared" si="1"/>
        <v>0</v>
      </c>
      <c r="U24" s="48">
        <f aca="true" t="shared" si="3" ref="U24:U37">O24+T24</f>
        <v>0</v>
      </c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>
      <c r="A25" s="50">
        <v>3</v>
      </c>
      <c r="B25" s="42"/>
      <c r="C25" s="51" t="s">
        <v>48</v>
      </c>
      <c r="D25" s="51" t="s">
        <v>34</v>
      </c>
      <c r="E25" s="44"/>
      <c r="F25" s="45" t="s">
        <v>53</v>
      </c>
      <c r="G25" s="45"/>
      <c r="H25" s="46"/>
      <c r="I25" s="32">
        <v>0</v>
      </c>
      <c r="J25" s="32"/>
      <c r="K25" s="32"/>
      <c r="L25" s="32"/>
      <c r="M25" s="32"/>
      <c r="N25" s="52">
        <f t="shared" si="2"/>
        <v>0</v>
      </c>
      <c r="O25" s="47">
        <f t="shared" si="0"/>
        <v>0</v>
      </c>
      <c r="P25" s="7"/>
      <c r="Q25" s="7">
        <v>-166.44</v>
      </c>
      <c r="R25" s="5">
        <v>166.44</v>
      </c>
      <c r="S25" s="5"/>
      <c r="T25" s="6">
        <f t="shared" si="1"/>
        <v>0</v>
      </c>
      <c r="U25" s="48">
        <f t="shared" si="3"/>
        <v>0</v>
      </c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>
      <c r="A26" s="50">
        <v>4</v>
      </c>
      <c r="B26" s="42"/>
      <c r="C26" s="51" t="s">
        <v>47</v>
      </c>
      <c r="D26" s="51"/>
      <c r="E26" s="44"/>
      <c r="F26" s="45" t="s">
        <v>53</v>
      </c>
      <c r="G26" s="45"/>
      <c r="H26" s="46"/>
      <c r="I26" s="32">
        <v>0</v>
      </c>
      <c r="J26" s="32"/>
      <c r="K26" s="32"/>
      <c r="L26" s="32"/>
      <c r="M26" s="32"/>
      <c r="N26" s="52">
        <f t="shared" si="2"/>
        <v>0</v>
      </c>
      <c r="O26" s="47">
        <f t="shared" si="0"/>
        <v>0</v>
      </c>
      <c r="P26" s="7"/>
      <c r="Q26" s="7">
        <v>-82.06</v>
      </c>
      <c r="R26" s="5">
        <v>82.06</v>
      </c>
      <c r="S26" s="5"/>
      <c r="T26" s="6">
        <f t="shared" si="1"/>
        <v>0</v>
      </c>
      <c r="U26" s="48">
        <f t="shared" si="3"/>
        <v>0</v>
      </c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>
      <c r="A27" s="41">
        <v>5</v>
      </c>
      <c r="B27" s="131" t="s">
        <v>15</v>
      </c>
      <c r="C27" s="51" t="s">
        <v>66</v>
      </c>
      <c r="D27" s="43" t="s">
        <v>34</v>
      </c>
      <c r="E27" s="44">
        <v>10000000</v>
      </c>
      <c r="F27" s="45">
        <v>43240</v>
      </c>
      <c r="G27" s="92"/>
      <c r="H27" s="132" t="s">
        <v>28</v>
      </c>
      <c r="I27" s="32">
        <v>10000000</v>
      </c>
      <c r="J27" s="44">
        <f>-(K27+L27)</f>
        <v>-8000000</v>
      </c>
      <c r="K27" s="44">
        <v>5600000</v>
      </c>
      <c r="L27" s="44">
        <v>2400000</v>
      </c>
      <c r="M27" s="32">
        <v>2000000</v>
      </c>
      <c r="N27" s="52">
        <f t="shared" si="2"/>
        <v>0</v>
      </c>
      <c r="O27" s="47">
        <f t="shared" si="0"/>
        <v>0</v>
      </c>
      <c r="P27" s="4"/>
      <c r="Q27" s="4">
        <v>22715.62</v>
      </c>
      <c r="R27" s="5">
        <f>20664+8419.29</f>
        <v>29083.29</v>
      </c>
      <c r="S27" s="93">
        <f>22715.62+20664+8419.29</f>
        <v>51798.909999999996</v>
      </c>
      <c r="T27" s="6">
        <f t="shared" si="1"/>
        <v>0</v>
      </c>
      <c r="U27" s="48">
        <f>O27+T27</f>
        <v>0</v>
      </c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>
      <c r="A28" s="50">
        <v>6</v>
      </c>
      <c r="B28" s="42" t="s">
        <v>15</v>
      </c>
      <c r="C28" s="51" t="s">
        <v>67</v>
      </c>
      <c r="D28" s="51" t="s">
        <v>34</v>
      </c>
      <c r="E28" s="44">
        <v>65000</v>
      </c>
      <c r="F28" s="45" t="s">
        <v>42</v>
      </c>
      <c r="G28" s="45"/>
      <c r="H28" s="46" t="s">
        <v>28</v>
      </c>
      <c r="I28" s="135">
        <v>6500000</v>
      </c>
      <c r="J28" s="134">
        <f>-(K28+L28)</f>
        <v>-6500000</v>
      </c>
      <c r="K28" s="134">
        <v>4550000</v>
      </c>
      <c r="L28" s="134">
        <v>1950000</v>
      </c>
      <c r="M28" s="135"/>
      <c r="N28" s="52">
        <f t="shared" si="2"/>
        <v>0</v>
      </c>
      <c r="O28" s="52">
        <f t="shared" si="0"/>
        <v>0</v>
      </c>
      <c r="P28" s="136"/>
      <c r="Q28" s="136">
        <v>14765.15</v>
      </c>
      <c r="R28" s="5">
        <f>14259.58+6840.67</f>
        <v>21100.25</v>
      </c>
      <c r="S28" s="137">
        <f>14765.15+14259.58+6840.67</f>
        <v>35865.4</v>
      </c>
      <c r="T28" s="32">
        <f t="shared" si="1"/>
        <v>0</v>
      </c>
      <c r="U28" s="48">
        <f t="shared" si="3"/>
        <v>0</v>
      </c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>
      <c r="A29" s="50">
        <v>7</v>
      </c>
      <c r="B29" s="42" t="s">
        <v>15</v>
      </c>
      <c r="C29" s="51" t="s">
        <v>68</v>
      </c>
      <c r="D29" s="51" t="s">
        <v>34</v>
      </c>
      <c r="E29" s="44">
        <v>12400000</v>
      </c>
      <c r="F29" s="45" t="s">
        <v>54</v>
      </c>
      <c r="G29" s="45"/>
      <c r="H29" s="46" t="s">
        <v>28</v>
      </c>
      <c r="I29" s="135">
        <v>12400000</v>
      </c>
      <c r="J29" s="134">
        <f>-(K29+L29)</f>
        <v>-11367000</v>
      </c>
      <c r="K29" s="134">
        <v>7956900</v>
      </c>
      <c r="L29" s="134">
        <v>3410100</v>
      </c>
      <c r="M29" s="135">
        <v>1033000</v>
      </c>
      <c r="N29" s="52">
        <f t="shared" si="2"/>
        <v>0</v>
      </c>
      <c r="O29" s="149">
        <f t="shared" si="0"/>
        <v>0</v>
      </c>
      <c r="P29" s="136"/>
      <c r="Q29" s="136">
        <v>28167.36</v>
      </c>
      <c r="R29" s="150">
        <f>26544.96+11962.76</f>
        <v>38507.72</v>
      </c>
      <c r="S29" s="137">
        <f>28167.36+26544.96+11962.76</f>
        <v>66675.08</v>
      </c>
      <c r="T29" s="32">
        <f t="shared" si="1"/>
        <v>0</v>
      </c>
      <c r="U29" s="48">
        <f t="shared" si="3"/>
        <v>0</v>
      </c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11960000</v>
      </c>
      <c r="J30" s="134">
        <f>-(K30+L30)</f>
        <v>-5940000</v>
      </c>
      <c r="K30" s="134">
        <v>4158000</v>
      </c>
      <c r="L30" s="134">
        <v>1782000</v>
      </c>
      <c r="M30" s="135">
        <v>540000</v>
      </c>
      <c r="N30" s="52">
        <f t="shared" si="2"/>
        <v>5480000</v>
      </c>
      <c r="O30" s="149">
        <f t="shared" si="0"/>
        <v>5480000</v>
      </c>
      <c r="P30" s="136"/>
      <c r="Q30" s="136">
        <v>27167.88</v>
      </c>
      <c r="R30" s="150">
        <f>25893.69+16897.99+11560.85+10886.43+11249.31+10886.43+10786.84+11249.31+11060.89+11635.62+11260.27+11822.54</f>
        <v>155190.17</v>
      </c>
      <c r="S30" s="137">
        <f>27167.88+25893.69+16897.99+11560.85+10886.43+11249.31+10886.43+10786.84+11249.31+11060.89+11635.62+11260.27+11822.54</f>
        <v>182358.05</v>
      </c>
      <c r="T30" s="32">
        <f t="shared" si="1"/>
        <v>0</v>
      </c>
      <c r="U30" s="48">
        <f t="shared" si="3"/>
        <v>5480000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12000000</v>
      </c>
      <c r="J31" s="134">
        <f>-(K31+L31)</f>
        <v>-5500000</v>
      </c>
      <c r="K31" s="134">
        <v>3850000</v>
      </c>
      <c r="L31" s="134">
        <v>1650000</v>
      </c>
      <c r="M31" s="135">
        <v>500000</v>
      </c>
      <c r="N31" s="52">
        <f t="shared" si="2"/>
        <v>6000000</v>
      </c>
      <c r="O31" s="149">
        <f t="shared" si="0"/>
        <v>6000000</v>
      </c>
      <c r="P31" s="136"/>
      <c r="Q31" s="136">
        <v>27258.74</v>
      </c>
      <c r="R31" s="150">
        <f>26006.92+17445.19+12657.86+11919.45+12316.77+11919.45+12316.77+12316.77+12110.46+12739.73+12328.77+12944.38</f>
        <v>167022.52000000002</v>
      </c>
      <c r="S31" s="137">
        <f>27258.74+26006.92+17445.19+12657.86+11919.45+12316.77+11919.45+12316.77+12316.77+12110.46+12739.73+12328.77+12944.38</f>
        <v>194281.25999999998</v>
      </c>
      <c r="T31" s="32">
        <f t="shared" si="1"/>
        <v>0</v>
      </c>
      <c r="U31" s="48">
        <f>O31+T31</f>
        <v>6000000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>
        <v>-515.1</v>
      </c>
      <c r="R32" s="150">
        <f>9236.09+515.1+9912.81</f>
        <v>19664</v>
      </c>
      <c r="S32" s="137">
        <f>9236.09+9912.81</f>
        <v>19148.9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20000000</v>
      </c>
      <c r="J33" s="134">
        <f>-(K33+L33)</f>
        <v>-7854000</v>
      </c>
      <c r="K33" s="134">
        <v>5497800</v>
      </c>
      <c r="L33" s="134">
        <v>2356200</v>
      </c>
      <c r="M33" s="135"/>
      <c r="N33" s="52">
        <f t="shared" si="2"/>
        <v>12146000</v>
      </c>
      <c r="O33" s="149">
        <f t="shared" si="0"/>
        <v>12146000</v>
      </c>
      <c r="P33" s="136"/>
      <c r="Q33" s="136">
        <v>-1281.08</v>
      </c>
      <c r="R33" s="150">
        <f>173272.55+1281.08+151332.83</f>
        <v>325886.45999999996</v>
      </c>
      <c r="S33" s="137">
        <f>173272.55+151332.83</f>
        <v>324605.38</v>
      </c>
      <c r="T33" s="32">
        <f t="shared" si="1"/>
        <v>0</v>
      </c>
      <c r="U33" s="48">
        <f t="shared" si="3"/>
        <v>12146000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1400000</v>
      </c>
      <c r="J34" s="134">
        <f>-(K34+L34)</f>
        <v>-506000</v>
      </c>
      <c r="K34" s="134">
        <v>354200</v>
      </c>
      <c r="L34" s="134">
        <v>151800</v>
      </c>
      <c r="M34" s="135"/>
      <c r="N34" s="52">
        <f t="shared" si="2"/>
        <v>894000</v>
      </c>
      <c r="O34" s="149">
        <f t="shared" si="0"/>
        <v>894000</v>
      </c>
      <c r="P34" s="136"/>
      <c r="Q34" s="136">
        <v>-89.68</v>
      </c>
      <c r="R34" s="150">
        <f>12524.23+89.68+11138.78</f>
        <v>23752.690000000002</v>
      </c>
      <c r="S34" s="137">
        <f>12524.23+11138.78</f>
        <v>23663.010000000002</v>
      </c>
      <c r="T34" s="32">
        <f t="shared" si="1"/>
        <v>0</v>
      </c>
      <c r="U34" s="48">
        <f>O34+T34</f>
        <v>894000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10000000</v>
      </c>
      <c r="J35" s="134">
        <f>-(K35+L35)</f>
        <v>-3080000</v>
      </c>
      <c r="K35" s="134">
        <v>2156000</v>
      </c>
      <c r="L35" s="134">
        <v>924000</v>
      </c>
      <c r="M35" s="135"/>
      <c r="N35" s="52">
        <f t="shared" si="2"/>
        <v>6920000</v>
      </c>
      <c r="O35" s="149">
        <f t="shared" si="0"/>
        <v>6920000</v>
      </c>
      <c r="P35" s="155" t="s">
        <v>61</v>
      </c>
      <c r="Q35" s="136">
        <v>4246.03</v>
      </c>
      <c r="R35" s="150">
        <f>94921.84+86219.6</f>
        <v>181141.44</v>
      </c>
      <c r="S35" s="137">
        <f>4246.03+94921.84+86219.6</f>
        <v>185387.47</v>
      </c>
      <c r="T35" s="32">
        <f t="shared" si="1"/>
        <v>0</v>
      </c>
      <c r="U35" s="48">
        <f t="shared" si="3"/>
        <v>6920000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14</v>
      </c>
      <c r="B36" s="42" t="s">
        <v>15</v>
      </c>
      <c r="C36" s="51" t="s">
        <v>72</v>
      </c>
      <c r="D36" s="51" t="s">
        <v>34</v>
      </c>
      <c r="E36" s="44">
        <v>0</v>
      </c>
      <c r="F36" s="45" t="s">
        <v>73</v>
      </c>
      <c r="G36" s="45"/>
      <c r="H36" s="46" t="s">
        <v>28</v>
      </c>
      <c r="I36" s="135"/>
      <c r="J36" s="134">
        <v>48747000</v>
      </c>
      <c r="K36" s="134"/>
      <c r="L36" s="134"/>
      <c r="M36" s="135">
        <f>1625000+1625000+1625000+600000+700000+325000+1625000+1625000+1625000+1625000+1624100+34122900</f>
        <v>48747000</v>
      </c>
      <c r="N36" s="52">
        <f>I36+J36-M36</f>
        <v>0</v>
      </c>
      <c r="O36" s="149">
        <f>N36</f>
        <v>0</v>
      </c>
      <c r="P36" s="155"/>
      <c r="Q36" s="136"/>
      <c r="R36" s="150">
        <f>30981.79</f>
        <v>30981.79</v>
      </c>
      <c r="S36" s="137">
        <f>30981.79</f>
        <v>30981.79</v>
      </c>
      <c r="T36" s="32">
        <f>Q36+R36-S36</f>
        <v>0</v>
      </c>
      <c r="U36" s="48">
        <f>O36+T36</f>
        <v>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/>
      <c r="J37" s="134">
        <v>2500000</v>
      </c>
      <c r="K37" s="134"/>
      <c r="L37" s="134"/>
      <c r="M37" s="135">
        <v>0</v>
      </c>
      <c r="N37" s="52">
        <f t="shared" si="2"/>
        <v>2500000</v>
      </c>
      <c r="O37" s="149">
        <f t="shared" si="0"/>
        <v>2500000</v>
      </c>
      <c r="P37" s="155"/>
      <c r="Q37" s="136"/>
      <c r="R37" s="150">
        <v>18235.96</v>
      </c>
      <c r="S37" s="137">
        <v>18235.96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103924000</v>
      </c>
      <c r="J38" s="133">
        <f>SUM(J23:J37)</f>
        <v>2500000</v>
      </c>
      <c r="K38" s="133">
        <f aca="true" t="shared" si="4" ref="K38:Q38">SUM(K23:K37)</f>
        <v>34122900</v>
      </c>
      <c r="L38" s="133">
        <f t="shared" si="4"/>
        <v>14624100</v>
      </c>
      <c r="M38" s="133">
        <f t="shared" si="4"/>
        <v>52820000</v>
      </c>
      <c r="N38" s="133">
        <f t="shared" si="4"/>
        <v>53604000</v>
      </c>
      <c r="O38" s="133">
        <f t="shared" si="4"/>
        <v>53604000</v>
      </c>
      <c r="P38" s="133">
        <f>SUM(P23:P37)</f>
        <v>0</v>
      </c>
      <c r="Q38" s="133">
        <f t="shared" si="4"/>
        <v>121972.45</v>
      </c>
      <c r="R38" s="133">
        <f>SUM(R23:R37)</f>
        <v>1011028.76</v>
      </c>
      <c r="S38" s="133">
        <f>SUM(S23:S37)</f>
        <v>1133001.21</v>
      </c>
      <c r="T38" s="133">
        <f>SUM(T23:T37)</f>
        <v>0</v>
      </c>
      <c r="U38" s="133">
        <f>SUM(U23:U37)</f>
        <v>53604000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>
        <v>0.09</v>
      </c>
      <c r="R40" s="3">
        <f>80050.59-0.09+72303.77+80050.59+77468.32+80050.59+77468.32+80050.6+80050.59+77468.32+80050.59+77468.32+80050.59</f>
        <v>942531.1</v>
      </c>
      <c r="S40" s="3">
        <f>80050.59+72303.77+80050.59+77468.32+80050.59+77468.32+80050.6+80050.59+77468.32+80050.59+77468.32+80050.59</f>
        <v>942531.1899999998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0</v>
      </c>
      <c r="J41" s="152">
        <v>16000000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115213.81+132282.52+128015.34+132282.52</f>
        <v>507794.18999999994</v>
      </c>
      <c r="S41" s="3">
        <f>115213.81+132282.52+128015.34+132282.52</f>
        <v>507794.18999999994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10000000</v>
      </c>
      <c r="J42" s="5">
        <f aca="true" t="shared" si="5" ref="J42:AY42">J40+J41</f>
        <v>16000000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0.09</v>
      </c>
      <c r="R42" s="5">
        <f t="shared" si="5"/>
        <v>1450325.29</v>
      </c>
      <c r="S42" s="5">
        <f t="shared" si="5"/>
        <v>1450325.38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113924000</v>
      </c>
      <c r="J46" s="23">
        <f t="shared" si="6"/>
        <v>18500000</v>
      </c>
      <c r="K46" s="23">
        <f t="shared" si="6"/>
        <v>34122900</v>
      </c>
      <c r="L46" s="23">
        <f t="shared" si="6"/>
        <v>14624100</v>
      </c>
      <c r="M46" s="23">
        <f t="shared" si="6"/>
        <v>52820000</v>
      </c>
      <c r="N46" s="23">
        <f t="shared" si="6"/>
        <v>79604000</v>
      </c>
      <c r="O46" s="23">
        <f t="shared" si="6"/>
        <v>79604000</v>
      </c>
      <c r="P46" s="23">
        <f t="shared" si="6"/>
        <v>0</v>
      </c>
      <c r="Q46" s="23">
        <f t="shared" si="6"/>
        <v>121972.54</v>
      </c>
      <c r="R46" s="23">
        <f t="shared" si="6"/>
        <v>2461354.05</v>
      </c>
      <c r="S46" s="23">
        <f t="shared" si="6"/>
        <v>2583326.59</v>
      </c>
      <c r="T46" s="23">
        <f t="shared" si="6"/>
        <v>0</v>
      </c>
      <c r="U46" s="23">
        <f t="shared" si="6"/>
        <v>79604000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tabSelected="1" zoomScalePageLayoutView="0" workbookViewId="0" topLeftCell="G37">
      <selection activeCell="R42" sqref="R42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117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118</v>
      </c>
      <c r="K8" s="11" t="s">
        <v>70</v>
      </c>
      <c r="L8" s="11" t="s">
        <v>71</v>
      </c>
      <c r="M8" s="11" t="s">
        <v>119</v>
      </c>
      <c r="N8" s="11" t="s">
        <v>120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>
        <v>9751.16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>
        <v>120699.3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>
        <v>9216.85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>
        <v>74990.43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>
        <v>31942.52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>
        <v>676.16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337343.87000000005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80050.6+72303.77+80050.59+77468.32+80050.59+77468.32+80050.6+80050.59+77468.32</f>
        <v>704961.7</v>
      </c>
      <c r="S41" s="3">
        <f>80050.6+72303.77+80050.59+77468.32+80050.59+77468.32+80050.6+80050.59</f>
        <v>627493.38</v>
      </c>
      <c r="T41" s="6">
        <f>Q41+R41-S41</f>
        <v>77468.31999999995</v>
      </c>
      <c r="U41" s="6">
        <f>N41+Q41+R41-S41</f>
        <v>10077468.319999998</v>
      </c>
      <c r="V41" s="25"/>
    </row>
    <row r="42" spans="1:22" ht="69" customHeight="1">
      <c r="A42" s="148">
        <v>2</v>
      </c>
      <c r="B42" s="131" t="s">
        <v>23</v>
      </c>
      <c r="C42" s="157" t="s">
        <v>74</v>
      </c>
      <c r="D42" s="131" t="s">
        <v>41</v>
      </c>
      <c r="E42" s="17">
        <v>160000000</v>
      </c>
      <c r="F42" s="151" t="s">
        <v>76</v>
      </c>
      <c r="G42" s="154" t="s">
        <v>75</v>
      </c>
      <c r="H42" s="132" t="s">
        <v>28</v>
      </c>
      <c r="I42" s="152">
        <v>16000000</v>
      </c>
      <c r="J42" s="152">
        <v>0</v>
      </c>
      <c r="K42" s="152"/>
      <c r="L42" s="152"/>
      <c r="M42" s="152">
        <v>0</v>
      </c>
      <c r="N42" s="6">
        <f>I42+J42-M42</f>
        <v>16000000</v>
      </c>
      <c r="O42" s="6">
        <f>N42</f>
        <v>16000000</v>
      </c>
      <c r="P42" s="3"/>
      <c r="Q42" s="3"/>
      <c r="R42" s="3">
        <f>132282.52+119480.99+132282.52+128015.34+132282.52+128015.34+132282.52+132282.52+128015.34</f>
        <v>1164939.61</v>
      </c>
      <c r="S42" s="3">
        <f>132282.52+119480.99+132282.52+128015.34+132282.52+128015.34+132282.52+132282.52+128015.34</f>
        <v>1164939.61</v>
      </c>
      <c r="T42" s="6">
        <f>Q42+R42-S42</f>
        <v>0</v>
      </c>
      <c r="U42" s="6">
        <f>N42+Q42+R42-S42</f>
        <v>16000000</v>
      </c>
      <c r="V42" s="25"/>
    </row>
    <row r="43" spans="1:22" ht="69" customHeight="1">
      <c r="A43" s="158">
        <v>3</v>
      </c>
      <c r="B43" s="131" t="s">
        <v>23</v>
      </c>
      <c r="C43" s="157" t="s">
        <v>109</v>
      </c>
      <c r="D43" s="131" t="s">
        <v>110</v>
      </c>
      <c r="E43" s="17">
        <v>15000000</v>
      </c>
      <c r="F43" s="151" t="s">
        <v>111</v>
      </c>
      <c r="G43" s="154" t="s">
        <v>112</v>
      </c>
      <c r="H43" s="132" t="s">
        <v>28</v>
      </c>
      <c r="I43" s="152">
        <v>0</v>
      </c>
      <c r="J43" s="152">
        <v>15000000</v>
      </c>
      <c r="K43" s="152"/>
      <c r="L43" s="152"/>
      <c r="M43" s="152">
        <v>0</v>
      </c>
      <c r="N43" s="6">
        <f>I43+J43-M43</f>
        <v>15000000</v>
      </c>
      <c r="O43" s="6">
        <f>N43</f>
        <v>15000000</v>
      </c>
      <c r="P43" s="3"/>
      <c r="Q43" s="3"/>
      <c r="R43" s="3">
        <f>46109.59+119116.44+115273.97</f>
        <v>280500</v>
      </c>
      <c r="S43" s="3">
        <f>46109.59+119116.44+115273.97</f>
        <v>280500</v>
      </c>
      <c r="T43" s="6">
        <f>Q43+R43-S43</f>
        <v>0</v>
      </c>
      <c r="U43" s="6">
        <f>N43+Q43+R43-S43</f>
        <v>15000000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>I41+I42+I43</f>
        <v>26000000</v>
      </c>
      <c r="J44" s="5">
        <f aca="true" t="shared" si="5" ref="J44:U44">J41+J42+J43</f>
        <v>15000000</v>
      </c>
      <c r="K44" s="5">
        <f t="shared" si="5"/>
        <v>0</v>
      </c>
      <c r="L44" s="5">
        <f t="shared" si="5"/>
        <v>0</v>
      </c>
      <c r="M44" s="5">
        <f t="shared" si="5"/>
        <v>0</v>
      </c>
      <c r="N44" s="5">
        <f t="shared" si="5"/>
        <v>41000000</v>
      </c>
      <c r="O44" s="5">
        <f t="shared" si="5"/>
        <v>41000000</v>
      </c>
      <c r="P44" s="5">
        <f t="shared" si="5"/>
        <v>0</v>
      </c>
      <c r="Q44" s="5">
        <f t="shared" si="5"/>
        <v>0</v>
      </c>
      <c r="R44" s="5">
        <f t="shared" si="5"/>
        <v>2150401.31</v>
      </c>
      <c r="S44" s="5">
        <f t="shared" si="5"/>
        <v>2072932.9900000002</v>
      </c>
      <c r="T44" s="5">
        <f t="shared" si="5"/>
        <v>77468.31999999995</v>
      </c>
      <c r="U44" s="5">
        <f t="shared" si="5"/>
        <v>41077468.32</v>
      </c>
      <c r="V44" s="5">
        <f aca="true" t="shared" si="6" ref="V44:AY44">V41+V42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I39+I44</f>
        <v>79604000</v>
      </c>
      <c r="J48" s="23">
        <f t="shared" si="7"/>
        <v>15000000</v>
      </c>
      <c r="K48" s="23">
        <f t="shared" si="7"/>
        <v>12166000</v>
      </c>
      <c r="L48" s="23">
        <f t="shared" si="7"/>
        <v>5214000</v>
      </c>
      <c r="M48" s="23">
        <f t="shared" si="7"/>
        <v>11620000</v>
      </c>
      <c r="N48" s="23">
        <f t="shared" si="7"/>
        <v>82984000</v>
      </c>
      <c r="O48" s="23">
        <f t="shared" si="7"/>
        <v>82984000</v>
      </c>
      <c r="P48" s="23">
        <f t="shared" si="7"/>
        <v>0</v>
      </c>
      <c r="Q48" s="23">
        <f t="shared" si="7"/>
        <v>0</v>
      </c>
      <c r="R48" s="23">
        <f t="shared" si="7"/>
        <v>2487745.18</v>
      </c>
      <c r="S48" s="23">
        <f t="shared" si="7"/>
        <v>2410276.8600000003</v>
      </c>
      <c r="T48" s="23">
        <f t="shared" si="7"/>
        <v>77468.31999999995</v>
      </c>
      <c r="U48" s="23">
        <f t="shared" si="7"/>
        <v>83061468.32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35</v>
      </c>
      <c r="C50" s="10"/>
      <c r="D50" s="10"/>
      <c r="E50" s="10"/>
      <c r="F50" s="10"/>
      <c r="G50" s="10"/>
      <c r="H50" s="10"/>
      <c r="I50" s="24" t="s">
        <v>39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43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8.7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8.7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8.7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6">
      <pane ySplit="3090" topLeftCell="A1" activePane="bottomLeft" state="split"/>
      <selection pane="topLeft" activeCell="N8" sqref="N8"/>
      <selection pane="bottomLeft" activeCell="O8" sqref="O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36</v>
      </c>
      <c r="K8" s="11" t="s">
        <v>70</v>
      </c>
      <c r="L8" s="11" t="s">
        <v>71</v>
      </c>
      <c r="M8" s="11" t="s">
        <v>40</v>
      </c>
      <c r="N8" s="11" t="s">
        <v>86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v>785000</v>
      </c>
      <c r="N30" s="52">
        <f aca="true" t="shared" si="2" ref="N30:N37">I30+J30-M30</f>
        <v>4695000</v>
      </c>
      <c r="O30" s="149">
        <f t="shared" si="0"/>
        <v>4695000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7">O30+T30</f>
        <v>4695000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v>500000</v>
      </c>
      <c r="N31" s="52">
        <f t="shared" si="2"/>
        <v>5500000</v>
      </c>
      <c r="O31" s="149">
        <f t="shared" si="0"/>
        <v>5500000</v>
      </c>
      <c r="P31" s="136"/>
      <c r="Q31" s="136"/>
      <c r="R31" s="150"/>
      <c r="S31" s="137"/>
      <c r="T31" s="32">
        <f t="shared" si="1"/>
        <v>0</v>
      </c>
      <c r="U31" s="48">
        <f>O31+T31</f>
        <v>5500000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v>714000</v>
      </c>
      <c r="N33" s="52">
        <f t="shared" si="2"/>
        <v>11432000</v>
      </c>
      <c r="O33" s="149">
        <f t="shared" si="0"/>
        <v>11432000</v>
      </c>
      <c r="P33" s="136"/>
      <c r="Q33" s="136"/>
      <c r="R33" s="150"/>
      <c r="S33" s="137"/>
      <c r="T33" s="32">
        <f t="shared" si="1"/>
        <v>0</v>
      </c>
      <c r="U33" s="48">
        <f t="shared" si="3"/>
        <v>11432000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v>46000</v>
      </c>
      <c r="N34" s="52">
        <f t="shared" si="2"/>
        <v>848000</v>
      </c>
      <c r="O34" s="149">
        <f t="shared" si="0"/>
        <v>848000</v>
      </c>
      <c r="P34" s="136"/>
      <c r="Q34" s="136"/>
      <c r="R34" s="150"/>
      <c r="S34" s="137"/>
      <c r="T34" s="32">
        <f t="shared" si="1"/>
        <v>0</v>
      </c>
      <c r="U34" s="48">
        <f>O34+T34</f>
        <v>848000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v>280000</v>
      </c>
      <c r="N35" s="52">
        <f t="shared" si="2"/>
        <v>6640000</v>
      </c>
      <c r="O35" s="149">
        <f t="shared" si="0"/>
        <v>6640000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6640000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2325000</v>
      </c>
      <c r="N38" s="133">
        <f t="shared" si="4"/>
        <v>51279000</v>
      </c>
      <c r="O38" s="133">
        <f t="shared" si="4"/>
        <v>51279000</v>
      </c>
      <c r="P38" s="133">
        <f>SUM(P23:P37)</f>
        <v>0</v>
      </c>
      <c r="Q38" s="133">
        <f t="shared" si="4"/>
        <v>0</v>
      </c>
      <c r="R38" s="133">
        <f>SUM(R23:R37)</f>
        <v>0</v>
      </c>
      <c r="S38" s="133">
        <f>SUM(S23:S37)</f>
        <v>0</v>
      </c>
      <c r="T38" s="133">
        <f>SUM(T23:T37)</f>
        <v>0</v>
      </c>
      <c r="U38" s="133">
        <f>SUM(U23:U37)</f>
        <v>51279000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/>
      <c r="S40" s="3"/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v>132282.52</v>
      </c>
      <c r="S41" s="3">
        <v>132282.52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132282.52</v>
      </c>
      <c r="S42" s="5">
        <f t="shared" si="5"/>
        <v>132282.52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2325000</v>
      </c>
      <c r="N46" s="23">
        <f t="shared" si="6"/>
        <v>77279000</v>
      </c>
      <c r="O46" s="23">
        <f t="shared" si="6"/>
        <v>77279000</v>
      </c>
      <c r="P46" s="23">
        <f t="shared" si="6"/>
        <v>0</v>
      </c>
      <c r="Q46" s="23">
        <f t="shared" si="6"/>
        <v>0</v>
      </c>
      <c r="R46" s="23">
        <f t="shared" si="6"/>
        <v>132282.52</v>
      </c>
      <c r="S46" s="23">
        <f t="shared" si="6"/>
        <v>132282.52</v>
      </c>
      <c r="T46" s="23">
        <f t="shared" si="6"/>
        <v>0</v>
      </c>
      <c r="U46" s="23">
        <f t="shared" si="6"/>
        <v>77279000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A37">
      <selection activeCell="S40" sqref="S40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83</v>
      </c>
      <c r="K8" s="11" t="s">
        <v>70</v>
      </c>
      <c r="L8" s="11" t="s">
        <v>71</v>
      </c>
      <c r="M8" s="11" t="s">
        <v>84</v>
      </c>
      <c r="N8" s="11" t="s">
        <v>85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</f>
        <v>1570000</v>
      </c>
      <c r="N30" s="52">
        <f aca="true" t="shared" si="2" ref="N30:N37">I30+J30-M30</f>
        <v>3910000</v>
      </c>
      <c r="O30" s="149">
        <f t="shared" si="0"/>
        <v>3910000</v>
      </c>
      <c r="P30" s="136"/>
      <c r="Q30" s="136"/>
      <c r="R30" s="150">
        <v>11244.19</v>
      </c>
      <c r="S30" s="150">
        <v>11244.19</v>
      </c>
      <c r="T30" s="32">
        <f t="shared" si="1"/>
        <v>0</v>
      </c>
      <c r="U30" s="48">
        <f aca="true" t="shared" si="3" ref="U30:U37">O30+T30</f>
        <v>3910000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</f>
        <v>1000000</v>
      </c>
      <c r="N31" s="52">
        <f t="shared" si="2"/>
        <v>5000000</v>
      </c>
      <c r="O31" s="149">
        <f t="shared" si="0"/>
        <v>5000000</v>
      </c>
      <c r="P31" s="136"/>
      <c r="Q31" s="136"/>
      <c r="R31" s="150">
        <v>12667.32</v>
      </c>
      <c r="S31" s="150">
        <v>12667.32</v>
      </c>
      <c r="T31" s="32">
        <f t="shared" si="1"/>
        <v>0</v>
      </c>
      <c r="U31" s="48">
        <f>O31+T31</f>
        <v>5000000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</f>
        <v>1428000</v>
      </c>
      <c r="N33" s="52">
        <f t="shared" si="2"/>
        <v>10718000</v>
      </c>
      <c r="O33" s="149">
        <f t="shared" si="0"/>
        <v>10718000</v>
      </c>
      <c r="P33" s="136"/>
      <c r="Q33" s="136"/>
      <c r="R33" s="150"/>
      <c r="S33" s="137"/>
      <c r="T33" s="32">
        <f t="shared" si="1"/>
        <v>0</v>
      </c>
      <c r="U33" s="48">
        <f t="shared" si="3"/>
        <v>10718000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</f>
        <v>92000</v>
      </c>
      <c r="N34" s="52">
        <f t="shared" si="2"/>
        <v>802000</v>
      </c>
      <c r="O34" s="149">
        <f t="shared" si="0"/>
        <v>802000</v>
      </c>
      <c r="P34" s="136"/>
      <c r="Q34" s="136"/>
      <c r="R34" s="150"/>
      <c r="S34" s="137"/>
      <c r="T34" s="32">
        <f t="shared" si="1"/>
        <v>0</v>
      </c>
      <c r="U34" s="48">
        <f>O34+T34</f>
        <v>802000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</f>
        <v>560000</v>
      </c>
      <c r="N35" s="52">
        <f t="shared" si="2"/>
        <v>6360000</v>
      </c>
      <c r="O35" s="149">
        <f t="shared" si="0"/>
        <v>6360000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6360000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4650000</v>
      </c>
      <c r="N38" s="133">
        <f t="shared" si="4"/>
        <v>48954000</v>
      </c>
      <c r="O38" s="133">
        <f t="shared" si="4"/>
        <v>48954000</v>
      </c>
      <c r="P38" s="133">
        <f>SUM(P23:P37)</f>
        <v>0</v>
      </c>
      <c r="Q38" s="133">
        <f t="shared" si="4"/>
        <v>0</v>
      </c>
      <c r="R38" s="133">
        <f>SUM(R23:R37)</f>
        <v>23911.510000000002</v>
      </c>
      <c r="S38" s="133">
        <f>SUM(S23:S37)</f>
        <v>23911.510000000002</v>
      </c>
      <c r="T38" s="133">
        <f>SUM(T23:T37)</f>
        <v>0</v>
      </c>
      <c r="U38" s="133">
        <f>SUM(U23:U37)</f>
        <v>48954000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v>80050.6</v>
      </c>
      <c r="S40" s="3">
        <v>80050.6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</f>
        <v>251763.51</v>
      </c>
      <c r="S41" s="3">
        <f>132282.52+119480.99</f>
        <v>251763.51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331814.11</v>
      </c>
      <c r="S42" s="5">
        <f t="shared" si="5"/>
        <v>331814.11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4650000</v>
      </c>
      <c r="N46" s="23">
        <f t="shared" si="6"/>
        <v>74954000</v>
      </c>
      <c r="O46" s="23">
        <f t="shared" si="6"/>
        <v>74954000</v>
      </c>
      <c r="P46" s="23">
        <f t="shared" si="6"/>
        <v>0</v>
      </c>
      <c r="Q46" s="23">
        <f t="shared" si="6"/>
        <v>0</v>
      </c>
      <c r="R46" s="23">
        <f t="shared" si="6"/>
        <v>355725.62</v>
      </c>
      <c r="S46" s="23">
        <f t="shared" si="6"/>
        <v>355725.62</v>
      </c>
      <c r="T46" s="23">
        <f t="shared" si="6"/>
        <v>0</v>
      </c>
      <c r="U46" s="23">
        <f t="shared" si="6"/>
        <v>74954000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A40">
      <pane xSplit="21165" topLeftCell="O1" activePane="topLeft" state="split"/>
      <selection pane="topLeft" activeCell="R32" sqref="R32"/>
      <selection pane="topRight" activeCell="O22" sqref="O22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89</v>
      </c>
      <c r="K8" s="11" t="s">
        <v>70</v>
      </c>
      <c r="L8" s="11" t="s">
        <v>71</v>
      </c>
      <c r="M8" s="11" t="s">
        <v>90</v>
      </c>
      <c r="N8" s="11" t="s">
        <v>88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785000+785000+785000</f>
        <v>2355000</v>
      </c>
      <c r="N30" s="52">
        <f aca="true" t="shared" si="2" ref="N30:N37">I30+J30-M30</f>
        <v>3125000</v>
      </c>
      <c r="O30" s="149">
        <f t="shared" si="0"/>
        <v>3125000</v>
      </c>
      <c r="P30" s="136"/>
      <c r="Q30" s="136"/>
      <c r="R30" s="150">
        <f>11244.19+8136.45+7466.64</f>
        <v>26847.28</v>
      </c>
      <c r="S30" s="150">
        <f>11244.19+8136.45</f>
        <v>19380.64</v>
      </c>
      <c r="T30" s="32">
        <f t="shared" si="1"/>
        <v>7466.639999999999</v>
      </c>
      <c r="U30" s="48">
        <f aca="true" t="shared" si="3" ref="U30:U37">O30+T30</f>
        <v>3132466.64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500000+500000+500000</f>
        <v>1500000</v>
      </c>
      <c r="N31" s="52">
        <f t="shared" si="2"/>
        <v>4500000</v>
      </c>
      <c r="O31" s="149">
        <f t="shared" si="0"/>
        <v>4500000</v>
      </c>
      <c r="P31" s="136"/>
      <c r="Q31" s="136"/>
      <c r="R31" s="150">
        <f>12667.32+10155.08+10261.23</f>
        <v>33083.630000000005</v>
      </c>
      <c r="S31" s="150">
        <f>12667.32+10155.08</f>
        <v>22822.4</v>
      </c>
      <c r="T31" s="32">
        <f t="shared" si="1"/>
        <v>10261.230000000003</v>
      </c>
      <c r="U31" s="48">
        <f>O31+T31</f>
        <v>4510261.23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714000+714000+714000</f>
        <v>2142000</v>
      </c>
      <c r="N33" s="52">
        <f t="shared" si="2"/>
        <v>10004000</v>
      </c>
      <c r="O33" s="149">
        <f t="shared" si="0"/>
        <v>10004000</v>
      </c>
      <c r="P33" s="136"/>
      <c r="Q33" s="136"/>
      <c r="R33" s="150"/>
      <c r="S33" s="137"/>
      <c r="T33" s="32">
        <f t="shared" si="1"/>
        <v>0</v>
      </c>
      <c r="U33" s="48">
        <f t="shared" si="3"/>
        <v>10004000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46000+46000+46000</f>
        <v>138000</v>
      </c>
      <c r="N34" s="52">
        <f t="shared" si="2"/>
        <v>756000</v>
      </c>
      <c r="O34" s="149">
        <f t="shared" si="0"/>
        <v>756000</v>
      </c>
      <c r="P34" s="136"/>
      <c r="Q34" s="136"/>
      <c r="R34" s="150"/>
      <c r="S34" s="137"/>
      <c r="T34" s="32">
        <f t="shared" si="1"/>
        <v>0</v>
      </c>
      <c r="U34" s="48">
        <f>O34+T34</f>
        <v>756000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280000+280000+280000</f>
        <v>840000</v>
      </c>
      <c r="N35" s="52">
        <f t="shared" si="2"/>
        <v>6080000</v>
      </c>
      <c r="O35" s="149">
        <f t="shared" si="0"/>
        <v>6080000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6080000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6975000</v>
      </c>
      <c r="N38" s="133">
        <f t="shared" si="4"/>
        <v>46629000</v>
      </c>
      <c r="O38" s="133">
        <f t="shared" si="4"/>
        <v>46629000</v>
      </c>
      <c r="P38" s="133">
        <f>SUM(P23:P37)</f>
        <v>0</v>
      </c>
      <c r="Q38" s="133">
        <f t="shared" si="4"/>
        <v>0</v>
      </c>
      <c r="R38" s="133">
        <f>SUM(R23:R37)</f>
        <v>59930.91</v>
      </c>
      <c r="S38" s="133">
        <f>SUM(S23:S37)</f>
        <v>42203.04</v>
      </c>
      <c r="T38" s="133">
        <f>SUM(T23:T37)</f>
        <v>17727.870000000003</v>
      </c>
      <c r="U38" s="133">
        <f>SUM(U23:U37)</f>
        <v>46646727.870000005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f>80050.6+72303.77</f>
        <v>152354.37</v>
      </c>
      <c r="S40" s="3">
        <f>80050.6+72303.77</f>
        <v>152354.37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132282.52+119480.99+132282.52</f>
        <v>384046.03</v>
      </c>
      <c r="S41" s="3">
        <f>132282.52+119480.99+132282.52</f>
        <v>384046.03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536400.4</v>
      </c>
      <c r="S42" s="5">
        <f t="shared" si="5"/>
        <v>536400.4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6975000</v>
      </c>
      <c r="N46" s="23">
        <f t="shared" si="6"/>
        <v>72629000</v>
      </c>
      <c r="O46" s="23">
        <f t="shared" si="6"/>
        <v>72629000</v>
      </c>
      <c r="P46" s="23">
        <f t="shared" si="6"/>
        <v>0</v>
      </c>
      <c r="Q46" s="23">
        <f t="shared" si="6"/>
        <v>0</v>
      </c>
      <c r="R46" s="23">
        <f t="shared" si="6"/>
        <v>596331.31</v>
      </c>
      <c r="S46" s="23">
        <f t="shared" si="6"/>
        <v>578603.4400000001</v>
      </c>
      <c r="T46" s="23">
        <f t="shared" si="6"/>
        <v>17727.870000000003</v>
      </c>
      <c r="U46" s="23">
        <f t="shared" si="6"/>
        <v>72646727.87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G34">
      <selection activeCell="Q30" sqref="Q30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91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92</v>
      </c>
      <c r="K8" s="11" t="s">
        <v>70</v>
      </c>
      <c r="L8" s="11" t="s">
        <v>71</v>
      </c>
      <c r="M8" s="11" t="s">
        <v>93</v>
      </c>
      <c r="N8" s="11" t="s">
        <v>94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785000+785000+785000+785000</f>
        <v>3140000</v>
      </c>
      <c r="N30" s="52">
        <f aca="true" t="shared" si="2" ref="N30:N37">I30+J30-M30</f>
        <v>2340000</v>
      </c>
      <c r="O30" s="149">
        <f t="shared" si="0"/>
        <v>2340000</v>
      </c>
      <c r="P30" s="136"/>
      <c r="Q30" s="136"/>
      <c r="R30" s="150">
        <f>11244.19+8136.45+7466.64+5356.72</f>
        <v>32204</v>
      </c>
      <c r="S30" s="150">
        <f>11244.19+8136.45+7466.64</f>
        <v>26847.28</v>
      </c>
      <c r="T30" s="32">
        <f t="shared" si="1"/>
        <v>5356.720000000001</v>
      </c>
      <c r="U30" s="48">
        <f aca="true" t="shared" si="3" ref="U30:U37">O30+T30</f>
        <v>2345356.72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500000+500000+500000+500000</f>
        <v>2000000</v>
      </c>
      <c r="N31" s="52">
        <f t="shared" si="2"/>
        <v>4000000</v>
      </c>
      <c r="O31" s="149">
        <f t="shared" si="0"/>
        <v>4000000</v>
      </c>
      <c r="P31" s="136"/>
      <c r="Q31" s="136"/>
      <c r="R31" s="150">
        <f>12667.32+10155.08+10261.23+8739.74</f>
        <v>41823.37</v>
      </c>
      <c r="S31" s="150">
        <f>12667.32+10155.08+10261.23</f>
        <v>33083.630000000005</v>
      </c>
      <c r="T31" s="32">
        <f t="shared" si="1"/>
        <v>8739.739999999998</v>
      </c>
      <c r="U31" s="48">
        <f>O31+T31</f>
        <v>4008739.74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714000+714000+714000+714000</f>
        <v>2856000</v>
      </c>
      <c r="N33" s="52">
        <f t="shared" si="2"/>
        <v>9290000</v>
      </c>
      <c r="O33" s="149">
        <f t="shared" si="0"/>
        <v>9290000</v>
      </c>
      <c r="P33" s="136"/>
      <c r="Q33" s="136"/>
      <c r="R33" s="150"/>
      <c r="S33" s="137"/>
      <c r="T33" s="32">
        <f t="shared" si="1"/>
        <v>0</v>
      </c>
      <c r="U33" s="48">
        <f t="shared" si="3"/>
        <v>9290000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46000+46000+46000+46000</f>
        <v>184000</v>
      </c>
      <c r="N34" s="52">
        <f t="shared" si="2"/>
        <v>710000</v>
      </c>
      <c r="O34" s="149">
        <f t="shared" si="0"/>
        <v>710000</v>
      </c>
      <c r="P34" s="136"/>
      <c r="Q34" s="136"/>
      <c r="R34" s="150"/>
      <c r="S34" s="137"/>
      <c r="T34" s="32">
        <f t="shared" si="1"/>
        <v>0</v>
      </c>
      <c r="U34" s="48">
        <f>O34+T34</f>
        <v>710000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280000+280000+280000+280000</f>
        <v>1120000</v>
      </c>
      <c r="N35" s="52">
        <f t="shared" si="2"/>
        <v>5800000</v>
      </c>
      <c r="O35" s="149">
        <f t="shared" si="0"/>
        <v>5800000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5800000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9300000</v>
      </c>
      <c r="N38" s="133">
        <f t="shared" si="4"/>
        <v>44304000</v>
      </c>
      <c r="O38" s="133">
        <f t="shared" si="4"/>
        <v>44304000</v>
      </c>
      <c r="P38" s="133">
        <f>SUM(P23:P37)</f>
        <v>0</v>
      </c>
      <c r="Q38" s="133">
        <f t="shared" si="4"/>
        <v>0</v>
      </c>
      <c r="R38" s="133">
        <f>SUM(R23:R37)</f>
        <v>74027.37</v>
      </c>
      <c r="S38" s="133">
        <f>SUM(S23:S37)</f>
        <v>59930.91</v>
      </c>
      <c r="T38" s="133">
        <f>SUM(T23:T37)</f>
        <v>14096.46</v>
      </c>
      <c r="U38" s="133">
        <f>SUM(U23:U37)</f>
        <v>44318096.46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f>80050.6+72303.77+80050.59</f>
        <v>232404.96</v>
      </c>
      <c r="S40" s="3">
        <f>80050.6+72303.77+80050.59</f>
        <v>232404.96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132282.52+119480.99+132282.52+128015.34</f>
        <v>512061.37</v>
      </c>
      <c r="S41" s="3">
        <f>132282.52+119480.99+132282.52+128015.34</f>
        <v>512061.37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744466.33</v>
      </c>
      <c r="S42" s="5">
        <f t="shared" si="5"/>
        <v>744466.33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9300000</v>
      </c>
      <c r="N46" s="23">
        <f t="shared" si="6"/>
        <v>70304000</v>
      </c>
      <c r="O46" s="23">
        <f t="shared" si="6"/>
        <v>70304000</v>
      </c>
      <c r="P46" s="23">
        <f t="shared" si="6"/>
        <v>0</v>
      </c>
      <c r="Q46" s="23">
        <f t="shared" si="6"/>
        <v>0</v>
      </c>
      <c r="R46" s="23">
        <f t="shared" si="6"/>
        <v>818493.7</v>
      </c>
      <c r="S46" s="23">
        <f t="shared" si="6"/>
        <v>804397.24</v>
      </c>
      <c r="T46" s="23">
        <f t="shared" si="6"/>
        <v>14096.46</v>
      </c>
      <c r="U46" s="23">
        <f t="shared" si="6"/>
        <v>70318096.46000001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34">
      <selection activeCell="R38" sqref="R3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95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96</v>
      </c>
      <c r="K8" s="11" t="s">
        <v>70</v>
      </c>
      <c r="L8" s="11" t="s">
        <v>71</v>
      </c>
      <c r="M8" s="11" t="s">
        <v>97</v>
      </c>
      <c r="N8" s="11" t="s">
        <v>98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7">I30+J30-M30</f>
        <v>1560000</v>
      </c>
      <c r="O30" s="149">
        <f t="shared" si="0"/>
        <v>1560000</v>
      </c>
      <c r="P30" s="136"/>
      <c r="Q30" s="136"/>
      <c r="R30" s="150">
        <f>11244.19+8136.45+7466.64+5356.72+4250.3</f>
        <v>36454.3</v>
      </c>
      <c r="S30" s="150">
        <f>11244.19+8136.45+7466.64+5356.72</f>
        <v>32204</v>
      </c>
      <c r="T30" s="32">
        <f t="shared" si="1"/>
        <v>4250.300000000003</v>
      </c>
      <c r="U30" s="48">
        <f aca="true" t="shared" si="3" ref="U30:U37">O30+T30</f>
        <v>1564250.3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500000+500000+500000+500000+500000</f>
        <v>2500000</v>
      </c>
      <c r="N31" s="52">
        <f t="shared" si="2"/>
        <v>3500000</v>
      </c>
      <c r="O31" s="149">
        <f t="shared" si="0"/>
        <v>3500000</v>
      </c>
      <c r="P31" s="136"/>
      <c r="Q31" s="136"/>
      <c r="R31" s="150">
        <f>12667.32+10155.08+10261.23+8739.74+8208.96</f>
        <v>50032.33</v>
      </c>
      <c r="S31" s="150">
        <f>12667.32+10155.08+10261.23+8739.74</f>
        <v>41823.37</v>
      </c>
      <c r="T31" s="32">
        <f t="shared" si="1"/>
        <v>8208.96</v>
      </c>
      <c r="U31" s="48">
        <f>O31+T31</f>
        <v>3508208.96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8576000</v>
      </c>
      <c r="O33" s="149">
        <f t="shared" si="0"/>
        <v>8576000</v>
      </c>
      <c r="P33" s="136"/>
      <c r="Q33" s="136"/>
      <c r="R33" s="150"/>
      <c r="S33" s="137"/>
      <c r="T33" s="32">
        <f t="shared" si="1"/>
        <v>0</v>
      </c>
      <c r="U33" s="48">
        <f t="shared" si="3"/>
        <v>8576000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664000</v>
      </c>
      <c r="O34" s="149">
        <f t="shared" si="0"/>
        <v>664000</v>
      </c>
      <c r="P34" s="136"/>
      <c r="Q34" s="136"/>
      <c r="R34" s="150"/>
      <c r="S34" s="137"/>
      <c r="T34" s="32">
        <f t="shared" si="1"/>
        <v>0</v>
      </c>
      <c r="U34" s="48">
        <f>O34+T34</f>
        <v>664000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5520000</v>
      </c>
      <c r="O35" s="149">
        <f t="shared" si="0"/>
        <v>5520000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5520000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32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11620000</v>
      </c>
      <c r="N38" s="133">
        <f t="shared" si="4"/>
        <v>41984000</v>
      </c>
      <c r="O38" s="133">
        <f t="shared" si="4"/>
        <v>41984000</v>
      </c>
      <c r="P38" s="133">
        <f>SUM(P23:P37)</f>
        <v>0</v>
      </c>
      <c r="Q38" s="133">
        <f t="shared" si="4"/>
        <v>0</v>
      </c>
      <c r="R38" s="133">
        <f>SUM(R23:R37)</f>
        <v>86486.63</v>
      </c>
      <c r="S38" s="133">
        <f>SUM(S23:S37)</f>
        <v>74027.37</v>
      </c>
      <c r="T38" s="133">
        <f>SUM(T23:T37)</f>
        <v>12459.260000000002</v>
      </c>
      <c r="U38" s="133">
        <f>SUM(U23:U37)</f>
        <v>41996459.26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f>80050.6+72303.77+80050.59+77468.32</f>
        <v>309873.28</v>
      </c>
      <c r="S40" s="3">
        <f>80050.6+72303.77+80050.59+77468.32</f>
        <v>309873.28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132282.52+119480.99+132282.52+128015.34+132282.52</f>
        <v>644343.89</v>
      </c>
      <c r="S41" s="3">
        <f>132282.52+119480.99+132282.52+128015.34+132282.52</f>
        <v>644343.89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954217.17</v>
      </c>
      <c r="S42" s="5">
        <f t="shared" si="5"/>
        <v>954217.17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11620000</v>
      </c>
      <c r="N46" s="23">
        <f t="shared" si="6"/>
        <v>67984000</v>
      </c>
      <c r="O46" s="23">
        <f t="shared" si="6"/>
        <v>67984000</v>
      </c>
      <c r="P46" s="23">
        <f t="shared" si="6"/>
        <v>0</v>
      </c>
      <c r="Q46" s="23">
        <f t="shared" si="6"/>
        <v>0</v>
      </c>
      <c r="R46" s="23">
        <f t="shared" si="6"/>
        <v>1040703.8</v>
      </c>
      <c r="S46" s="23">
        <f t="shared" si="6"/>
        <v>1028244.54</v>
      </c>
      <c r="T46" s="23">
        <f t="shared" si="6"/>
        <v>12459.260000000002</v>
      </c>
      <c r="U46" s="23">
        <f t="shared" si="6"/>
        <v>67996459.25999999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6"/>
  <sheetViews>
    <sheetView zoomScalePageLayoutView="0" workbookViewId="0" topLeftCell="C40">
      <selection activeCell="R39" sqref="R39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99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100</v>
      </c>
      <c r="K8" s="11" t="s">
        <v>70</v>
      </c>
      <c r="L8" s="11" t="s">
        <v>71</v>
      </c>
      <c r="M8" s="11" t="s">
        <v>101</v>
      </c>
      <c r="N8" s="11" t="s">
        <v>102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</f>
        <v>36454.3</v>
      </c>
      <c r="T30" s="32">
        <f t="shared" si="1"/>
        <v>1103.9800000000032</v>
      </c>
      <c r="U30" s="48">
        <f aca="true" t="shared" si="3" ref="U30:U38">O30+T30</f>
        <v>1103.9800000000032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</f>
        <v>50032.33</v>
      </c>
      <c r="T31" s="32">
        <f t="shared" si="1"/>
        <v>2476.8399999999965</v>
      </c>
      <c r="U31" s="48">
        <f>O31+T31</f>
        <v>2476.8399999999965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/>
      <c r="T32" s="32">
        <f t="shared" si="1"/>
        <v>9751.16</v>
      </c>
      <c r="U32" s="48">
        <f t="shared" si="3"/>
        <v>19673751.16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/>
      <c r="T33" s="32">
        <f t="shared" si="1"/>
        <v>120699.3</v>
      </c>
      <c r="U33" s="48">
        <f t="shared" si="3"/>
        <v>3698699.3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/>
      <c r="T34" s="32">
        <f t="shared" si="1"/>
        <v>9216.85</v>
      </c>
      <c r="U34" s="48">
        <f>O34+T34</f>
        <v>351216.85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/>
      <c r="T35" s="32">
        <f t="shared" si="1"/>
        <v>74990.43</v>
      </c>
      <c r="U35" s="48">
        <f t="shared" si="3"/>
        <v>3634990.43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/>
      <c r="T37" s="32">
        <f t="shared" si="1"/>
        <v>31942.52</v>
      </c>
      <c r="U37" s="48">
        <f t="shared" si="3"/>
        <v>2531942.52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/>
      <c r="T38" s="32">
        <f t="shared" si="1"/>
        <v>676.16</v>
      </c>
      <c r="U38" s="48">
        <f t="shared" si="3"/>
        <v>12340676.16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86486.63</v>
      </c>
      <c r="T39" s="133">
        <f t="shared" si="4"/>
        <v>250857.24</v>
      </c>
      <c r="U39" s="133">
        <f t="shared" si="4"/>
        <v>42234857.24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</f>
        <v>467392.19</v>
      </c>
      <c r="S41" s="3">
        <f>80050.6+72303.77+80050.59+77468.32+80050.59</f>
        <v>389923.87</v>
      </c>
      <c r="T41" s="6">
        <f>Q41+R41-S41</f>
        <v>77468.32</v>
      </c>
      <c r="U41" s="6">
        <f>N41+Q41+R41-S41</f>
        <v>10077468.32</v>
      </c>
      <c r="V41" s="25"/>
    </row>
    <row r="42" spans="1:22" ht="69" customHeight="1">
      <c r="A42" s="148">
        <v>1</v>
      </c>
      <c r="B42" s="42" t="s">
        <v>23</v>
      </c>
      <c r="C42" s="141" t="s">
        <v>74</v>
      </c>
      <c r="D42" s="131" t="s">
        <v>41</v>
      </c>
      <c r="E42" s="17">
        <v>160000000</v>
      </c>
      <c r="F42" s="151" t="s">
        <v>76</v>
      </c>
      <c r="G42" s="154" t="s">
        <v>75</v>
      </c>
      <c r="H42" s="132" t="s">
        <v>28</v>
      </c>
      <c r="I42" s="152">
        <v>16000000</v>
      </c>
      <c r="J42" s="152">
        <v>0</v>
      </c>
      <c r="K42" s="152"/>
      <c r="L42" s="152"/>
      <c r="M42" s="152">
        <v>0</v>
      </c>
      <c r="N42" s="6">
        <f>I42+J42-M42</f>
        <v>16000000</v>
      </c>
      <c r="O42" s="6">
        <f>N42</f>
        <v>16000000</v>
      </c>
      <c r="P42" s="3"/>
      <c r="Q42" s="3"/>
      <c r="R42" s="3">
        <f>132282.52+119480.99+132282.52+128015.34+132282.52+128015.34</f>
        <v>772359.23</v>
      </c>
      <c r="S42" s="3">
        <f>132282.52+119480.99+132282.52+128015.34+132282.52+128015.34</f>
        <v>772359.23</v>
      </c>
      <c r="T42" s="6">
        <f>Q42+R42-S42</f>
        <v>0</v>
      </c>
      <c r="U42" s="6">
        <f>N42+Q42+R42-S42</f>
        <v>16000000</v>
      </c>
      <c r="V42" s="25"/>
    </row>
    <row r="43" spans="1:51" ht="16.5" customHeight="1" thickBot="1">
      <c r="A43" s="94" t="s">
        <v>21</v>
      </c>
      <c r="B43" s="140"/>
      <c r="C43" s="140"/>
      <c r="D43" s="14"/>
      <c r="E43" s="14"/>
      <c r="F43" s="14"/>
      <c r="G43" s="14"/>
      <c r="H43" s="14"/>
      <c r="I43" s="5">
        <f>I41+I42</f>
        <v>26000000</v>
      </c>
      <c r="J43" s="5">
        <f aca="true" t="shared" si="5" ref="J43:AY43">J41+J42</f>
        <v>0</v>
      </c>
      <c r="K43" s="5">
        <f t="shared" si="5"/>
        <v>0</v>
      </c>
      <c r="L43" s="5">
        <f t="shared" si="5"/>
        <v>0</v>
      </c>
      <c r="M43" s="5">
        <f t="shared" si="5"/>
        <v>0</v>
      </c>
      <c r="N43" s="5">
        <f t="shared" si="5"/>
        <v>26000000</v>
      </c>
      <c r="O43" s="5">
        <f t="shared" si="5"/>
        <v>26000000</v>
      </c>
      <c r="P43" s="5">
        <f t="shared" si="5"/>
        <v>0</v>
      </c>
      <c r="Q43" s="5">
        <f t="shared" si="5"/>
        <v>0</v>
      </c>
      <c r="R43" s="5">
        <f t="shared" si="5"/>
        <v>1239751.42</v>
      </c>
      <c r="S43" s="5">
        <f t="shared" si="5"/>
        <v>1162283.1</v>
      </c>
      <c r="T43" s="5">
        <f t="shared" si="5"/>
        <v>77468.32</v>
      </c>
      <c r="U43" s="5">
        <f t="shared" si="5"/>
        <v>26077468.32</v>
      </c>
      <c r="V43" s="5">
        <f t="shared" si="5"/>
        <v>0</v>
      </c>
      <c r="W43" s="5">
        <f t="shared" si="5"/>
        <v>0</v>
      </c>
      <c r="X43" s="5">
        <f t="shared" si="5"/>
        <v>0</v>
      </c>
      <c r="Y43" s="5">
        <f t="shared" si="5"/>
        <v>0</v>
      </c>
      <c r="Z43" s="5">
        <f t="shared" si="5"/>
        <v>0</v>
      </c>
      <c r="AA43" s="5">
        <f t="shared" si="5"/>
        <v>0</v>
      </c>
      <c r="AB43" s="5">
        <f t="shared" si="5"/>
        <v>0</v>
      </c>
      <c r="AC43" s="5">
        <f t="shared" si="5"/>
        <v>0</v>
      </c>
      <c r="AD43" s="5">
        <f t="shared" si="5"/>
        <v>0</v>
      </c>
      <c r="AE43" s="5">
        <f t="shared" si="5"/>
        <v>0</v>
      </c>
      <c r="AF43" s="5">
        <f t="shared" si="5"/>
        <v>0</v>
      </c>
      <c r="AG43" s="5">
        <f t="shared" si="5"/>
        <v>0</v>
      </c>
      <c r="AH43" s="5">
        <f t="shared" si="5"/>
        <v>0</v>
      </c>
      <c r="AI43" s="5">
        <f t="shared" si="5"/>
        <v>0</v>
      </c>
      <c r="AJ43" s="5">
        <f t="shared" si="5"/>
        <v>0</v>
      </c>
      <c r="AK43" s="5">
        <f t="shared" si="5"/>
        <v>0</v>
      </c>
      <c r="AL43" s="5">
        <f t="shared" si="5"/>
        <v>0</v>
      </c>
      <c r="AM43" s="5">
        <f t="shared" si="5"/>
        <v>0</v>
      </c>
      <c r="AN43" s="5">
        <f t="shared" si="5"/>
        <v>0</v>
      </c>
      <c r="AO43" s="5">
        <f t="shared" si="5"/>
        <v>0</v>
      </c>
      <c r="AP43" s="5">
        <f t="shared" si="5"/>
        <v>0</v>
      </c>
      <c r="AQ43" s="5">
        <f t="shared" si="5"/>
        <v>0</v>
      </c>
      <c r="AR43" s="5">
        <f t="shared" si="5"/>
        <v>0</v>
      </c>
      <c r="AS43" s="5">
        <f t="shared" si="5"/>
        <v>0</v>
      </c>
      <c r="AT43" s="5">
        <f t="shared" si="5"/>
        <v>0</v>
      </c>
      <c r="AU43" s="5">
        <f t="shared" si="5"/>
        <v>0</v>
      </c>
      <c r="AV43" s="5">
        <f t="shared" si="5"/>
        <v>0</v>
      </c>
      <c r="AW43" s="5">
        <f t="shared" si="5"/>
        <v>0</v>
      </c>
      <c r="AX43" s="5">
        <f t="shared" si="5"/>
        <v>0</v>
      </c>
      <c r="AY43" s="5">
        <f t="shared" si="5"/>
        <v>0</v>
      </c>
    </row>
    <row r="44" spans="1:38" s="82" customFormat="1" ht="18" customHeight="1" thickBot="1">
      <c r="A44" s="100" t="s">
        <v>5</v>
      </c>
      <c r="B44" s="101" t="s">
        <v>22</v>
      </c>
      <c r="C44" s="101"/>
      <c r="D44" s="144"/>
      <c r="E44" s="144"/>
      <c r="F44" s="144"/>
      <c r="G44" s="144"/>
      <c r="H44" s="144"/>
      <c r="I44" s="144"/>
      <c r="J44" s="140"/>
      <c r="K44" s="140"/>
      <c r="L44" s="140"/>
      <c r="M44" s="140"/>
      <c r="N44" s="140"/>
      <c r="O44" s="140"/>
      <c r="P44" s="140"/>
      <c r="Q44" s="140"/>
      <c r="R44" s="140"/>
      <c r="S44" s="147"/>
      <c r="T44" s="140"/>
      <c r="U44" s="145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69.75" customHeight="1" hidden="1">
      <c r="A45" s="100"/>
      <c r="B45" s="102"/>
      <c r="C45" s="103"/>
      <c r="D45" s="103"/>
      <c r="E45" s="104"/>
      <c r="F45" s="103"/>
      <c r="G45" s="153"/>
      <c r="H45" s="46"/>
      <c r="I45" s="61"/>
      <c r="J45" s="61"/>
      <c r="K45" s="156"/>
      <c r="L45" s="156"/>
      <c r="M45" s="33"/>
      <c r="N45" s="61"/>
      <c r="O45" s="32"/>
      <c r="P45" s="21"/>
      <c r="Q45" s="21"/>
      <c r="R45" s="21"/>
      <c r="S45" s="146"/>
      <c r="T45" s="61"/>
      <c r="U45" s="61"/>
      <c r="V45" s="81"/>
      <c r="W45" s="105"/>
      <c r="X45" s="105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18" customHeight="1" thickBot="1">
      <c r="A46" s="106" t="s">
        <v>21</v>
      </c>
      <c r="B46" s="107"/>
      <c r="C46" s="108"/>
      <c r="D46" s="108"/>
      <c r="E46" s="109"/>
      <c r="F46" s="110"/>
      <c r="G46" s="110"/>
      <c r="H46" s="103"/>
      <c r="I46" s="34">
        <f>I45</f>
        <v>0</v>
      </c>
      <c r="J46" s="34">
        <f>J45</f>
        <v>0</v>
      </c>
      <c r="K46" s="34"/>
      <c r="L46" s="34"/>
      <c r="M46" s="34">
        <f>M45</f>
        <v>0</v>
      </c>
      <c r="N46" s="34">
        <f>N45</f>
        <v>0</v>
      </c>
      <c r="O46" s="34">
        <f>O45</f>
        <v>0</v>
      </c>
      <c r="P46" s="22">
        <v>3</v>
      </c>
      <c r="Q46" s="22">
        <v>0</v>
      </c>
      <c r="R46" s="22">
        <v>0</v>
      </c>
      <c r="S46" s="22">
        <v>0</v>
      </c>
      <c r="T46" s="34">
        <f>N46</f>
        <v>0</v>
      </c>
      <c r="U46" s="34">
        <f>T46</f>
        <v>0</v>
      </c>
      <c r="V46" s="81"/>
      <c r="W46" s="11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23" ht="16.5" customHeight="1" thickBot="1">
      <c r="A47" s="112"/>
      <c r="B47" s="20" t="s">
        <v>16</v>
      </c>
      <c r="C47" s="19"/>
      <c r="D47" s="19"/>
      <c r="E47" s="19"/>
      <c r="F47" s="99"/>
      <c r="G47" s="99"/>
      <c r="H47" s="113"/>
      <c r="I47" s="23">
        <f aca="true" t="shared" si="6" ref="I47:U47">I39+I43</f>
        <v>79604000</v>
      </c>
      <c r="J47" s="23">
        <f t="shared" si="6"/>
        <v>0</v>
      </c>
      <c r="K47" s="23">
        <f t="shared" si="6"/>
        <v>12166000</v>
      </c>
      <c r="L47" s="23">
        <f t="shared" si="6"/>
        <v>5214000</v>
      </c>
      <c r="M47" s="23">
        <f t="shared" si="6"/>
        <v>11620000</v>
      </c>
      <c r="N47" s="23">
        <f t="shared" si="6"/>
        <v>67984000</v>
      </c>
      <c r="O47" s="23">
        <f t="shared" si="6"/>
        <v>67984000</v>
      </c>
      <c r="P47" s="23">
        <f t="shared" si="6"/>
        <v>0</v>
      </c>
      <c r="Q47" s="23">
        <f t="shared" si="6"/>
        <v>0</v>
      </c>
      <c r="R47" s="23">
        <f t="shared" si="6"/>
        <v>1577095.29</v>
      </c>
      <c r="S47" s="23">
        <f t="shared" si="6"/>
        <v>1248769.73</v>
      </c>
      <c r="T47" s="23">
        <f t="shared" si="6"/>
        <v>328325.56</v>
      </c>
      <c r="U47" s="23">
        <f t="shared" si="6"/>
        <v>68312325.56</v>
      </c>
      <c r="V47" s="25"/>
      <c r="W47" s="114"/>
    </row>
    <row r="48" spans="1:22" ht="16.5" customHeight="1">
      <c r="A48" s="25"/>
      <c r="B48" s="81"/>
      <c r="C48" s="10"/>
      <c r="D48" s="10"/>
      <c r="E48" s="10"/>
      <c r="F48" s="10"/>
      <c r="G48" s="10"/>
      <c r="H48" s="10"/>
      <c r="I48" s="24"/>
      <c r="J48" s="24"/>
      <c r="K48" s="24"/>
      <c r="L48" s="24"/>
      <c r="M48" s="24"/>
      <c r="N48" s="24"/>
      <c r="O48" s="24"/>
      <c r="P48" s="40"/>
      <c r="Q48" s="24"/>
      <c r="R48" s="24"/>
      <c r="S48" s="24"/>
      <c r="T48" s="24"/>
      <c r="U48" s="24"/>
      <c r="V48" s="25"/>
    </row>
    <row r="49" spans="1:22" ht="16.5" customHeight="1">
      <c r="A49" s="25"/>
      <c r="B49" s="10" t="s">
        <v>35</v>
      </c>
      <c r="C49" s="10"/>
      <c r="D49" s="10"/>
      <c r="E49" s="10"/>
      <c r="F49" s="10"/>
      <c r="G49" s="10"/>
      <c r="H49" s="10"/>
      <c r="I49" s="24" t="s">
        <v>39</v>
      </c>
      <c r="J49" s="24"/>
      <c r="K49" s="24"/>
      <c r="L49" s="24"/>
      <c r="M49" s="24"/>
      <c r="N49" s="24"/>
      <c r="O49" s="24"/>
      <c r="P49" s="40"/>
      <c r="Q49" s="24"/>
      <c r="R49" s="24"/>
      <c r="S49" s="40"/>
      <c r="T49" s="24"/>
      <c r="U49" s="24"/>
      <c r="V49" s="25"/>
    </row>
    <row r="50" spans="1:22" ht="16.5" customHeight="1">
      <c r="A50" s="2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24"/>
      <c r="T50" s="10"/>
      <c r="U50" s="10"/>
      <c r="V50" s="25"/>
    </row>
    <row r="51" spans="1:22" ht="15.75" customHeight="1">
      <c r="A51" s="25"/>
      <c r="B51" s="10" t="s">
        <v>27</v>
      </c>
      <c r="C51" s="10"/>
      <c r="D51" s="115"/>
      <c r="E51" s="116"/>
      <c r="F51" s="116"/>
      <c r="G51" s="116"/>
      <c r="H51" s="116"/>
      <c r="I51" s="35" t="s">
        <v>43</v>
      </c>
      <c r="J51" s="35"/>
      <c r="K51" s="35"/>
      <c r="L51" s="35"/>
      <c r="M51" s="35"/>
      <c r="N51" s="35"/>
      <c r="O51" s="35"/>
      <c r="P51" s="10"/>
      <c r="Q51" s="10"/>
      <c r="R51" s="10"/>
      <c r="S51" s="10"/>
      <c r="T51" s="10"/>
      <c r="U51" s="10"/>
      <c r="V51" s="25"/>
    </row>
    <row r="52" spans="1:22" ht="15.75" customHeight="1">
      <c r="A52" s="25"/>
      <c r="B52" s="10" t="s">
        <v>26</v>
      </c>
      <c r="C52" s="10"/>
      <c r="D52" s="115"/>
      <c r="E52" s="116"/>
      <c r="F52" s="116"/>
      <c r="G52" s="116"/>
      <c r="H52" s="116"/>
      <c r="I52" s="35"/>
      <c r="J52" s="35"/>
      <c r="K52" s="35"/>
      <c r="L52" s="35"/>
      <c r="M52" s="35"/>
      <c r="N52" s="117"/>
      <c r="O52" s="117"/>
      <c r="P52" s="10"/>
      <c r="Q52" s="10"/>
      <c r="R52" s="10"/>
      <c r="S52" s="10"/>
      <c r="T52" s="10"/>
      <c r="U52" s="10"/>
      <c r="V52" s="25"/>
    </row>
    <row r="53" spans="1:22" ht="12.75">
      <c r="A53" s="25"/>
      <c r="B53" s="10"/>
      <c r="C53" s="10"/>
      <c r="D53" s="39"/>
      <c r="E53" s="10"/>
      <c r="F53" s="10"/>
      <c r="G53" s="10"/>
      <c r="H53" s="10"/>
      <c r="I53" s="36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0.75" customHeight="1">
      <c r="A54" s="25"/>
      <c r="B54" s="10"/>
      <c r="C54" s="10"/>
      <c r="D54" s="39"/>
      <c r="E54" s="10"/>
      <c r="F54" s="10"/>
      <c r="G54" s="10"/>
      <c r="H54" s="10"/>
      <c r="I54" s="118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4.25" customHeight="1" hidden="1">
      <c r="A55" s="25"/>
      <c r="B55" s="10"/>
      <c r="C55" s="10"/>
      <c r="D55" s="39"/>
      <c r="E55" s="10"/>
      <c r="F55" s="10"/>
      <c r="G55" s="10"/>
      <c r="H55" s="10"/>
      <c r="I55" s="36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3.5" customHeight="1" hidden="1">
      <c r="A56" s="25"/>
      <c r="B56" s="10"/>
      <c r="C56" s="10"/>
      <c r="D56" s="10"/>
      <c r="E56" s="1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  <c r="V56" s="25"/>
    </row>
    <row r="57" spans="2:21" s="25" customFormat="1" ht="12.75" customHeight="1">
      <c r="B57" s="10" t="s">
        <v>14</v>
      </c>
      <c r="C57" s="39"/>
      <c r="D57" s="119"/>
      <c r="E57" s="12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</row>
    <row r="58" spans="1:21" s="25" customFormat="1" ht="9.75" customHeight="1">
      <c r="A58" s="121"/>
      <c r="B58" s="122" t="s">
        <v>20</v>
      </c>
      <c r="C58" s="10"/>
      <c r="D58" s="10"/>
      <c r="E58" s="123"/>
      <c r="F58" s="123"/>
      <c r="G58" s="123"/>
      <c r="H58" s="124"/>
      <c r="I58" s="38"/>
      <c r="J58" s="38"/>
      <c r="K58" s="38"/>
      <c r="L58" s="38"/>
      <c r="M58" s="38"/>
      <c r="N58" s="38"/>
      <c r="O58" s="38"/>
      <c r="P58" s="10"/>
      <c r="Q58" s="10"/>
      <c r="R58" s="10"/>
      <c r="S58" s="10"/>
      <c r="T58" s="10"/>
      <c r="U58" s="10"/>
    </row>
    <row r="59" spans="2:21" s="25" customFormat="1" ht="12.75">
      <c r="B59" s="39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125"/>
      <c r="G63" s="125"/>
      <c r="H63" s="125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1:21" s="25" customFormat="1" ht="18.75">
      <c r="A64" s="121"/>
      <c r="B64" s="121"/>
      <c r="C64" s="126"/>
      <c r="D64" s="126"/>
      <c r="E64" s="126"/>
      <c r="F64" s="126"/>
      <c r="G64" s="126"/>
      <c r="H64" s="126"/>
      <c r="I64" s="39"/>
      <c r="J64" s="39"/>
      <c r="K64" s="39"/>
      <c r="L64" s="39"/>
      <c r="M64" s="39"/>
      <c r="N64" s="39"/>
      <c r="O64" s="39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1:21" s="25" customFormat="1" ht="18.75">
      <c r="A68" s="127"/>
      <c r="B68" s="10"/>
      <c r="C68" s="10"/>
      <c r="D68" s="10"/>
      <c r="E68" s="124"/>
      <c r="F68" s="124"/>
      <c r="G68" s="124"/>
      <c r="H68" s="124"/>
      <c r="I68" s="38"/>
      <c r="J68" s="38"/>
      <c r="K68" s="38"/>
      <c r="L68" s="38"/>
      <c r="M68" s="38"/>
      <c r="N68" s="38"/>
      <c r="O68" s="38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1:21" s="25" customFormat="1" ht="18.75">
      <c r="A72" s="121"/>
      <c r="B72" s="121"/>
      <c r="C72" s="121"/>
      <c r="D72" s="121"/>
      <c r="E72" s="121"/>
      <c r="F72" s="121"/>
      <c r="G72" s="121"/>
      <c r="H72" s="129"/>
      <c r="I72" s="13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15"/>
      <c r="E74" s="116"/>
      <c r="F74" s="116"/>
      <c r="G74" s="116"/>
      <c r="H74" s="116"/>
      <c r="I74" s="35"/>
      <c r="J74" s="35"/>
      <c r="K74" s="35"/>
      <c r="L74" s="35"/>
      <c r="M74" s="35"/>
      <c r="N74" s="117"/>
      <c r="O74" s="117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39"/>
      <c r="E75" s="10"/>
      <c r="F75" s="10"/>
      <c r="G75" s="10"/>
      <c r="H75" s="10"/>
      <c r="I75" s="36"/>
      <c r="J75" s="36"/>
      <c r="K75" s="36"/>
      <c r="L75" s="36"/>
      <c r="M75" s="36"/>
      <c r="N75" s="36"/>
      <c r="O75" s="36"/>
      <c r="P75" s="10"/>
      <c r="Q75" s="10"/>
      <c r="R75" s="10"/>
      <c r="T75" s="10"/>
      <c r="U75" s="10"/>
    </row>
    <row r="76" s="25" customFormat="1" ht="12.75">
      <c r="S76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zoomScalePageLayoutView="0" workbookViewId="0" topLeftCell="H40">
      <selection activeCell="H8" sqref="H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105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106</v>
      </c>
      <c r="K8" s="11" t="s">
        <v>70</v>
      </c>
      <c r="L8" s="11" t="s">
        <v>71</v>
      </c>
      <c r="M8" s="11" t="s">
        <v>107</v>
      </c>
      <c r="N8" s="11" t="s">
        <v>108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>
        <v>9751.16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>
        <v>120699.3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>
        <v>9216.85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>
        <v>74990.43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>
        <v>31942.52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>
        <v>676.16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337343.87000000005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80050.6+72303.77+80050.59+77468.32+80050.59+77468.32+80050.6</f>
        <v>547442.79</v>
      </c>
      <c r="S41" s="3">
        <f>80050.6+72303.77+80050.59+77468.32+80050.59+77468.32</f>
        <v>467392.19</v>
      </c>
      <c r="T41" s="6">
        <f>Q41+R41-S41</f>
        <v>80050.60000000003</v>
      </c>
      <c r="U41" s="6">
        <f>N41+Q41+R41-S41</f>
        <v>10080050.6</v>
      </c>
      <c r="V41" s="25"/>
    </row>
    <row r="42" spans="1:22" ht="69" customHeight="1">
      <c r="A42" s="148">
        <v>2</v>
      </c>
      <c r="B42" s="131" t="s">
        <v>23</v>
      </c>
      <c r="C42" s="157" t="s">
        <v>74</v>
      </c>
      <c r="D42" s="131" t="s">
        <v>41</v>
      </c>
      <c r="E42" s="17">
        <v>160000000</v>
      </c>
      <c r="F42" s="151" t="s">
        <v>76</v>
      </c>
      <c r="G42" s="154" t="s">
        <v>75</v>
      </c>
      <c r="H42" s="132" t="s">
        <v>28</v>
      </c>
      <c r="I42" s="152">
        <v>16000000</v>
      </c>
      <c r="J42" s="152">
        <v>0</v>
      </c>
      <c r="K42" s="152"/>
      <c r="L42" s="152"/>
      <c r="M42" s="152">
        <v>0</v>
      </c>
      <c r="N42" s="6">
        <f>I42+J42-M42</f>
        <v>16000000</v>
      </c>
      <c r="O42" s="6">
        <f>N42</f>
        <v>16000000</v>
      </c>
      <c r="P42" s="3"/>
      <c r="Q42" s="3"/>
      <c r="R42" s="3">
        <f>132282.52+119480.99+132282.52+128015.34+132282.52+128015.34+132282.52</f>
        <v>904641.75</v>
      </c>
      <c r="S42" s="3">
        <f>132282.52+119480.99+132282.52+128015.34+132282.52+128015.34+132282.52</f>
        <v>904641.75</v>
      </c>
      <c r="T42" s="6">
        <f>Q42+R42-S42</f>
        <v>0</v>
      </c>
      <c r="U42" s="6">
        <f>N42+Q42+R42-S42</f>
        <v>16000000</v>
      </c>
      <c r="V42" s="25"/>
    </row>
    <row r="43" spans="1:22" ht="69" customHeight="1">
      <c r="A43" s="158">
        <v>3</v>
      </c>
      <c r="B43" s="131" t="s">
        <v>23</v>
      </c>
      <c r="C43" s="157" t="s">
        <v>109</v>
      </c>
      <c r="D43" s="131" t="s">
        <v>110</v>
      </c>
      <c r="E43" s="17">
        <v>15000000</v>
      </c>
      <c r="F43" s="151" t="s">
        <v>111</v>
      </c>
      <c r="G43" s="154" t="s">
        <v>112</v>
      </c>
      <c r="H43" s="132" t="s">
        <v>28</v>
      </c>
      <c r="I43" s="152">
        <v>0</v>
      </c>
      <c r="J43" s="152">
        <v>15000000</v>
      </c>
      <c r="K43" s="152"/>
      <c r="L43" s="152"/>
      <c r="M43" s="152">
        <v>0</v>
      </c>
      <c r="N43" s="6">
        <f>I43+J43-M43</f>
        <v>15000000</v>
      </c>
      <c r="O43" s="6">
        <f>N43</f>
        <v>15000000</v>
      </c>
      <c r="P43" s="3"/>
      <c r="Q43" s="3"/>
      <c r="R43" s="3">
        <v>46109.59</v>
      </c>
      <c r="S43" s="3">
        <v>46109.59</v>
      </c>
      <c r="T43" s="6">
        <f>Q43+R43-S43</f>
        <v>0</v>
      </c>
      <c r="U43" s="6">
        <f>N43+Q43+R43-S43</f>
        <v>15000000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>I41+I42+I43</f>
        <v>26000000</v>
      </c>
      <c r="J44" s="5">
        <f aca="true" t="shared" si="5" ref="J44:U44">J41+J42+J43</f>
        <v>15000000</v>
      </c>
      <c r="K44" s="5">
        <f t="shared" si="5"/>
        <v>0</v>
      </c>
      <c r="L44" s="5">
        <f t="shared" si="5"/>
        <v>0</v>
      </c>
      <c r="M44" s="5">
        <f t="shared" si="5"/>
        <v>0</v>
      </c>
      <c r="N44" s="5">
        <f t="shared" si="5"/>
        <v>41000000</v>
      </c>
      <c r="O44" s="5">
        <f t="shared" si="5"/>
        <v>41000000</v>
      </c>
      <c r="P44" s="5">
        <f t="shared" si="5"/>
        <v>0</v>
      </c>
      <c r="Q44" s="5">
        <f t="shared" si="5"/>
        <v>0</v>
      </c>
      <c r="R44" s="5">
        <f t="shared" si="5"/>
        <v>1498194.1300000001</v>
      </c>
      <c r="S44" s="5">
        <f t="shared" si="5"/>
        <v>1418143.53</v>
      </c>
      <c r="T44" s="5">
        <f t="shared" si="5"/>
        <v>80050.60000000003</v>
      </c>
      <c r="U44" s="5">
        <f t="shared" si="5"/>
        <v>41080050.6</v>
      </c>
      <c r="V44" s="5">
        <f aca="true" t="shared" si="6" ref="V44:AY44">V41+V42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I39+I44</f>
        <v>79604000</v>
      </c>
      <c r="J48" s="23">
        <f t="shared" si="7"/>
        <v>15000000</v>
      </c>
      <c r="K48" s="23">
        <f t="shared" si="7"/>
        <v>12166000</v>
      </c>
      <c r="L48" s="23">
        <f t="shared" si="7"/>
        <v>5214000</v>
      </c>
      <c r="M48" s="23">
        <f t="shared" si="7"/>
        <v>11620000</v>
      </c>
      <c r="N48" s="23">
        <f t="shared" si="7"/>
        <v>82984000</v>
      </c>
      <c r="O48" s="23">
        <f t="shared" si="7"/>
        <v>82984000</v>
      </c>
      <c r="P48" s="23">
        <f t="shared" si="7"/>
        <v>0</v>
      </c>
      <c r="Q48" s="23">
        <f t="shared" si="7"/>
        <v>0</v>
      </c>
      <c r="R48" s="23">
        <f t="shared" si="7"/>
        <v>1835538.0000000002</v>
      </c>
      <c r="S48" s="23">
        <f t="shared" si="7"/>
        <v>1755487.4000000001</v>
      </c>
      <c r="T48" s="23">
        <f t="shared" si="7"/>
        <v>80050.60000000003</v>
      </c>
      <c r="U48" s="23">
        <f t="shared" si="7"/>
        <v>83064050.6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35</v>
      </c>
      <c r="C50" s="10"/>
      <c r="D50" s="10"/>
      <c r="E50" s="10"/>
      <c r="F50" s="10"/>
      <c r="G50" s="10"/>
      <c r="H50" s="10"/>
      <c r="I50" s="24" t="s">
        <v>39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43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8.7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8.7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8.7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zoomScalePageLayoutView="0" workbookViewId="0" topLeftCell="G37">
      <selection activeCell="R44" sqref="R44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113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114</v>
      </c>
      <c r="K8" s="11" t="s">
        <v>70</v>
      </c>
      <c r="L8" s="11" t="s">
        <v>71</v>
      </c>
      <c r="M8" s="11" t="s">
        <v>115</v>
      </c>
      <c r="N8" s="11" t="s">
        <v>116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>
        <v>9751.16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>
        <v>120699.3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>
        <v>9216.85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>
        <v>74990.43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>
        <v>31942.52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>
        <v>676.16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337343.87000000005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80050.6+72303.77+80050.59+77468.32+80050.59+77468.32+80050.6+80050.59</f>
        <v>627493.38</v>
      </c>
      <c r="S41" s="3">
        <f>80050.6+72303.77+80050.59+77468.32+80050.59+77468.32+80050.6</f>
        <v>547442.79</v>
      </c>
      <c r="T41" s="6">
        <f>Q41+R41-S41</f>
        <v>80050.58999999997</v>
      </c>
      <c r="U41" s="6">
        <f>N41+Q41+R41-S41</f>
        <v>10080050.59</v>
      </c>
      <c r="V41" s="25"/>
    </row>
    <row r="42" spans="1:22" ht="69" customHeight="1">
      <c r="A42" s="148">
        <v>2</v>
      </c>
      <c r="B42" s="131" t="s">
        <v>23</v>
      </c>
      <c r="C42" s="157" t="s">
        <v>74</v>
      </c>
      <c r="D42" s="131" t="s">
        <v>41</v>
      </c>
      <c r="E42" s="17">
        <v>160000000</v>
      </c>
      <c r="F42" s="151" t="s">
        <v>76</v>
      </c>
      <c r="G42" s="154" t="s">
        <v>75</v>
      </c>
      <c r="H42" s="132" t="s">
        <v>28</v>
      </c>
      <c r="I42" s="152">
        <v>16000000</v>
      </c>
      <c r="J42" s="152">
        <v>0</v>
      </c>
      <c r="K42" s="152"/>
      <c r="L42" s="152"/>
      <c r="M42" s="152">
        <v>0</v>
      </c>
      <c r="N42" s="6">
        <f>I42+J42-M42</f>
        <v>16000000</v>
      </c>
      <c r="O42" s="6">
        <f>N42</f>
        <v>16000000</v>
      </c>
      <c r="P42" s="3"/>
      <c r="Q42" s="3"/>
      <c r="R42" s="3">
        <f>132282.52+119480.99+132282.52+128015.34+132282.52+128015.34+132282.52+132282.52</f>
        <v>1036924.27</v>
      </c>
      <c r="S42" s="3">
        <f>132282.52+119480.99+132282.52+128015.34+132282.52+128015.34+132282.52+132282.52</f>
        <v>1036924.27</v>
      </c>
      <c r="T42" s="6">
        <f>Q42+R42-S42</f>
        <v>0</v>
      </c>
      <c r="U42" s="6">
        <f>N42+Q42+R42-S42</f>
        <v>16000000</v>
      </c>
      <c r="V42" s="25"/>
    </row>
    <row r="43" spans="1:22" ht="69" customHeight="1">
      <c r="A43" s="158">
        <v>3</v>
      </c>
      <c r="B43" s="131" t="s">
        <v>23</v>
      </c>
      <c r="C43" s="157" t="s">
        <v>109</v>
      </c>
      <c r="D43" s="131" t="s">
        <v>110</v>
      </c>
      <c r="E43" s="17">
        <v>15000000</v>
      </c>
      <c r="F43" s="151" t="s">
        <v>111</v>
      </c>
      <c r="G43" s="154" t="s">
        <v>112</v>
      </c>
      <c r="H43" s="132" t="s">
        <v>28</v>
      </c>
      <c r="I43" s="152">
        <v>0</v>
      </c>
      <c r="J43" s="152">
        <v>15000000</v>
      </c>
      <c r="K43" s="152"/>
      <c r="L43" s="152"/>
      <c r="M43" s="152">
        <v>0</v>
      </c>
      <c r="N43" s="6">
        <f>I43+J43-M43</f>
        <v>15000000</v>
      </c>
      <c r="O43" s="6">
        <f>N43</f>
        <v>15000000</v>
      </c>
      <c r="P43" s="3"/>
      <c r="Q43" s="3"/>
      <c r="R43" s="3">
        <f>46109.59+119116.44</f>
        <v>165226.03</v>
      </c>
      <c r="S43" s="3">
        <f>46109.59+119116.44</f>
        <v>165226.03</v>
      </c>
      <c r="T43" s="6">
        <f>Q43+R43-S43</f>
        <v>0</v>
      </c>
      <c r="U43" s="6">
        <f>N43+Q43+R43-S43</f>
        <v>15000000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>I41+I42+I43</f>
        <v>26000000</v>
      </c>
      <c r="J44" s="5">
        <f aca="true" t="shared" si="5" ref="J44:U44">J41+J42+J43</f>
        <v>15000000</v>
      </c>
      <c r="K44" s="5">
        <f t="shared" si="5"/>
        <v>0</v>
      </c>
      <c r="L44" s="5">
        <f t="shared" si="5"/>
        <v>0</v>
      </c>
      <c r="M44" s="5">
        <f t="shared" si="5"/>
        <v>0</v>
      </c>
      <c r="N44" s="5">
        <f t="shared" si="5"/>
        <v>41000000</v>
      </c>
      <c r="O44" s="5">
        <f t="shared" si="5"/>
        <v>41000000</v>
      </c>
      <c r="P44" s="5">
        <f t="shared" si="5"/>
        <v>0</v>
      </c>
      <c r="Q44" s="5">
        <f t="shared" si="5"/>
        <v>0</v>
      </c>
      <c r="R44" s="5">
        <f t="shared" si="5"/>
        <v>1829643.68</v>
      </c>
      <c r="S44" s="5">
        <f t="shared" si="5"/>
        <v>1749593.09</v>
      </c>
      <c r="T44" s="5">
        <f t="shared" si="5"/>
        <v>80050.58999999997</v>
      </c>
      <c r="U44" s="5">
        <f t="shared" si="5"/>
        <v>41080050.59</v>
      </c>
      <c r="V44" s="5">
        <f aca="true" t="shared" si="6" ref="V44:AY44">V41+V42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I39+I44</f>
        <v>79604000</v>
      </c>
      <c r="J48" s="23">
        <f t="shared" si="7"/>
        <v>15000000</v>
      </c>
      <c r="K48" s="23">
        <f t="shared" si="7"/>
        <v>12166000</v>
      </c>
      <c r="L48" s="23">
        <f t="shared" si="7"/>
        <v>5214000</v>
      </c>
      <c r="M48" s="23">
        <f t="shared" si="7"/>
        <v>11620000</v>
      </c>
      <c r="N48" s="23">
        <f t="shared" si="7"/>
        <v>82984000</v>
      </c>
      <c r="O48" s="23">
        <f t="shared" si="7"/>
        <v>82984000</v>
      </c>
      <c r="P48" s="23">
        <f t="shared" si="7"/>
        <v>0</v>
      </c>
      <c r="Q48" s="23">
        <f t="shared" si="7"/>
        <v>0</v>
      </c>
      <c r="R48" s="23">
        <f t="shared" si="7"/>
        <v>2166987.55</v>
      </c>
      <c r="S48" s="23">
        <f t="shared" si="7"/>
        <v>2086936.9600000002</v>
      </c>
      <c r="T48" s="23">
        <f t="shared" si="7"/>
        <v>80050.58999999997</v>
      </c>
      <c r="U48" s="23">
        <f t="shared" si="7"/>
        <v>83064050.59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35</v>
      </c>
      <c r="C50" s="10"/>
      <c r="D50" s="10"/>
      <c r="E50" s="10"/>
      <c r="F50" s="10"/>
      <c r="G50" s="10"/>
      <c r="H50" s="10"/>
      <c r="I50" s="24" t="s">
        <v>39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43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8.7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8.7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8.7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2019-10-01T09:48:40Z</cp:lastPrinted>
  <dcterms:created xsi:type="dcterms:W3CDTF">2000-01-05T08:20:30Z</dcterms:created>
  <dcterms:modified xsi:type="dcterms:W3CDTF">2019-10-01T09:49:54Z</dcterms:modified>
  <cp:category/>
  <cp:version/>
  <cp:contentType/>
  <cp:contentStatus/>
</cp:coreProperties>
</file>