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9720" windowHeight="4560" tabRatio="902" firstSheet="9" activeTab="10"/>
  </bookViews>
  <sheets>
    <sheet name="01,01,19" sheetId="1" r:id="rId1"/>
    <sheet name="01,02,19" sheetId="2" r:id="rId2"/>
    <sheet name="01,03,19 " sheetId="3" r:id="rId3"/>
    <sheet name="01,04,19  " sheetId="4" r:id="rId4"/>
    <sheet name="01,05,19  " sheetId="5" r:id="rId5"/>
    <sheet name="01,06,19  " sheetId="6" r:id="rId6"/>
    <sheet name="01,07,19   " sheetId="7" r:id="rId7"/>
    <sheet name="01,08.19    " sheetId="8" r:id="rId8"/>
    <sheet name="01,09.19    " sheetId="9" r:id="rId9"/>
    <sheet name="01,10.19    " sheetId="10" r:id="rId10"/>
    <sheet name="01,11.19    " sheetId="11" r:id="rId11"/>
    <sheet name="01,12.19     " sheetId="12" state="hidden" r:id="rId12"/>
    <sheet name="01,01.20    " sheetId="13" state="hidden" r:id="rId13"/>
    <sheet name="Лист1" sheetId="14" r:id="rId14"/>
  </sheets>
  <definedNames>
    <definedName name="С55" localSheetId="0">#REF!</definedName>
    <definedName name="С55" localSheetId="12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 localSheetId="5">#REF!</definedName>
    <definedName name="С55" localSheetId="6">#REF!</definedName>
    <definedName name="С55" localSheetId="7">#REF!</definedName>
    <definedName name="С55" localSheetId="8">#REF!</definedName>
    <definedName name="С55" localSheetId="9">#REF!</definedName>
    <definedName name="С55" localSheetId="10">#REF!</definedName>
    <definedName name="С55" localSheetId="11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<sst xmlns="http://schemas.openxmlformats.org/spreadsheetml/2006/main" count="1373" uniqueCount="135">
  <si>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</si>
  <si>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</si>
  <si>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</si>
  <si>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</si>
  <si>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</si>
  <si>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</si>
  <si>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</si>
  <si>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</si>
  <si>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</si>
  <si>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</si>
  <si>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</si>
  <si>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</si>
  <si>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</si>
  <si>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</si>
  <si>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</si>
  <si>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</si>
  <si>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</si>
  <si>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</si>
  <si>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</si>
  <si>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</si>
  <si>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</si>
  <si>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</si>
  <si>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</si>
  <si>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</si>
  <si>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</si>
  <si>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</si>
  <si>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</si>
  <si>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</si>
  <si>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</si>
  <si>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</si>
  <si>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</si>
  <si>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</si>
  <si>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</si>
  <si>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</si>
  <si>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</si>
  <si>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</si>
  <si>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</si>
  <si>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</si>
  <si>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</si>
  <si>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</si>
  <si>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</si>
  <si>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</si>
  <si>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</si>
  <si>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</si>
  <si>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</si>
  <si>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</si>
  <si>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</si>
  <si>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</si>
  <si>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</si>
  <si>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</si>
  <si>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</si>
  <si>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</si>
  <si>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</si>
  <si>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</si>
  <si>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</si>
  <si>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</si>
  <si>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</si>
  <si>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</si>
  <si>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</si>
  <si>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</si>
  <si>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</si>
  <si>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</si>
  <si>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</si>
  <si>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</si>
  <si>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</si>
  <si>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</si>
  <si>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</si>
  <si>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</si>
  <si>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</si>
  <si>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</si>
  <si>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</si>
  <si>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</si>
  <si>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</si>
  <si>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</si>
  <si>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</si>
  <si>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</si>
  <si>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</si>
  <si>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</si>
  <si>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</si>
  <si>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</si>
  <si>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</si>
  <si>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</si>
  <si>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</si>
  <si>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</si>
  <si>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</si>
  <si>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</si>
  <si>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</si>
  <si>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</si>
  <si>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</si>
  <si>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</si>
  <si>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</si>
  <si>
    <t>по состоянию на  1.05.2019 года</t>
  </si>
  <si>
    <t>Образование долгового обязательства  за отчетный период (апрель)</t>
  </si>
  <si>
    <t>Погашение долгового  обязательства за отчетный период (апрель)</t>
  </si>
  <si>
    <t>Остаток долгового обязательства на конец отчетного периода (1.05.2019)</t>
  </si>
  <si>
    <t>по состоянию на  1.06.2019 года</t>
  </si>
  <si>
    <t>Образование долгового обязательства  за отчетный период (май)</t>
  </si>
  <si>
    <t>Погашение долгового  обязательства за отчетный период (май)</t>
  </si>
  <si>
    <t>Остаток долгового обязательства на конец отчетного периода (1.06.2019)</t>
  </si>
  <si>
    <t>по состоянию на  1.07.2019 года</t>
  </si>
  <si>
    <t>Образование долгового обязательства  за отчетный период (июнь)</t>
  </si>
  <si>
    <t>Погашение долгового  обязательства за отчетный период (июнь)</t>
  </si>
  <si>
    <t>Остаток долгового обязательства на конец отчетного периода (1.07.2019)</t>
  </si>
  <si>
    <t xml:space="preserve">№9-1/19р от 11.06.19г. </t>
  </si>
  <si>
    <t>25.12.2021г.</t>
  </si>
  <si>
    <t>по состоянию на  1.08.2019 года</t>
  </si>
  <si>
    <t>Образование долгового обязательства  за отчетный период (июль)</t>
  </si>
  <si>
    <t>Погашение долгового  обязательства за отчетный период (июль)</t>
  </si>
  <si>
    <t>Остаток долгового обязательства на конец отчетного периода (1.08.2019)</t>
  </si>
  <si>
    <t>№0106300009119000047 от 16.07.2019г.</t>
  </si>
  <si>
    <t>ПАО "Сбербанк России"</t>
  </si>
  <si>
    <t>17.07.2021г.</t>
  </si>
  <si>
    <t>9,35</t>
  </si>
  <si>
    <t>по состоянию на  1.09.2019 года</t>
  </si>
  <si>
    <t>Образование долгового обязательства  за отчетный период (январь-август)</t>
  </si>
  <si>
    <t>Погашение долгового  обязательства за отчетный период (январь-август)</t>
  </si>
  <si>
    <t>Остаток долгового обязательства на конец отчетного периода (1.09.2019)</t>
  </si>
  <si>
    <t>по состоянию на  1.10.2019 года</t>
  </si>
  <si>
    <t>Образование долгового обязательства  за отчетный период (январь-сентябрь)</t>
  </si>
  <si>
    <t>Погашение долгового  обязательства за отчетный период (январь-сентябрь)</t>
  </si>
  <si>
    <t>Остаток долгового обязательства на конец отчетного периода (1.10.2019)</t>
  </si>
  <si>
    <t>по состоянию на  1.11.2019 года</t>
  </si>
  <si>
    <t>Образование долгового обязательства  за отчетный период (январь-октябрь)</t>
  </si>
  <si>
    <t>Погашение долгового  обязательства за отчетный период (январь-окктябрь)</t>
  </si>
  <si>
    <t>Остаток долгового обязательства на конец отчетного периода (1.11.2019)</t>
  </si>
  <si>
    <t>по состоянию на  1.12.2019 года</t>
  </si>
  <si>
    <t>Образование долгового обязательства  за отчетный период (январь-ноября)</t>
  </si>
  <si>
    <t>Погашение долгового  обязательства за отчетный период (январь-ноября)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</si>
  <si>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</si>
  <si>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</si>
  <si>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</si>
  <si>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</si>
  <si>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</si>
  <si>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</si>
  <si>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№0106300009119000057 от 19.11.2019г.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</si>
</sst>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G37">
      <selection activeCell="R42" sqref="R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118</v>
      </c>
      <c r="K8" s="11" t="s">
        <v>70</v>
      </c>
      <c r="L8" s="11" t="s">
        <v>71</v>
      </c>
      <c r="M8" s="11" t="s">
        <v>119</v>
      </c>
      <c r="N8" s="11" t="s">
        <v>120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</f>
        <v>704961.7</v>
      </c>
      <c r="S41" s="3">
        <f>80050.6+72303.77+80050.59+77468.32+80050.59+77468.32+80050.6+80050.59</f>
        <v>627493.38</v>
      </c>
      <c r="T41" s="6">
        <f>Q41+R41-S41</f>
        <v>77468.31999999995</v>
      </c>
      <c r="U41" s="6">
        <f>N41+Q41+R41-S41</f>
        <v>10077468.319999998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</f>
        <v>1164939.61</v>
      </c>
      <c r="S42" s="3">
        <f>132282.52+119480.99+132282.52+128015.34+132282.52+128015.34+132282.52+132282.52+128015.34</f>
        <v>1164939.61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</f>
        <v>280500</v>
      </c>
      <c r="S43" s="3">
        <f>46109.59+119116.44+115273.97</f>
        <v>280500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2150401.31</v>
      </c>
      <c r="S44" s="5">
        <f t="shared" si="5"/>
        <v>2072932.9900000002</v>
      </c>
      <c r="T44" s="5">
        <f t="shared" si="5"/>
        <v>77468.31999999995</v>
      </c>
      <c r="U44" s="5">
        <f t="shared" si="5"/>
        <v>41077468.32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2487745.18</v>
      </c>
      <c r="S48" s="23">
        <f t="shared" si="7"/>
        <v>2410276.8600000003</v>
      </c>
      <c r="T48" s="23">
        <f t="shared" si="7"/>
        <v>77468.31999999995</v>
      </c>
      <c r="U48" s="23">
        <f t="shared" si="7"/>
        <v>83061468.32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tabSelected="1" zoomScalePageLayoutView="0" workbookViewId="0" topLeftCell="M38">
      <selection activeCell="P30" sqref="P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122</v>
      </c>
      <c r="K8" s="11" t="s">
        <v>70</v>
      </c>
      <c r="L8" s="11" t="s">
        <v>71</v>
      </c>
      <c r="M8" s="11" t="s">
        <v>123</v>
      </c>
      <c r="N8" s="11" t="s">
        <v>124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80050.6+72303.77+80050.59+77468.32+80050.59+77468.32+80050.6+80050.59+77468.32+80050.59</f>
        <v>785012.2899999999</v>
      </c>
      <c r="S41" s="3">
        <f>80050.6+72303.77+80050.59+77468.32+80050.59+77468.32+80050.6+80050.59+77468.32</f>
        <v>704961.7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132282.52+119480.99+132282.52+128015.34+132282.52+128015.34+132282.52+132282.52+128015.34+132282.52</f>
        <v>1297222.1300000001</v>
      </c>
      <c r="S42" s="3">
        <f>132282.52+119480.99+132282.52+128015.34+132282.52+128015.34+132282.52+132282.52+128015.34+132282.52</f>
        <v>1297222.1300000001</v>
      </c>
      <c r="T42" s="6">
        <f>Q42+R42-S42</f>
        <v>0</v>
      </c>
      <c r="U42" s="6">
        <f>N42+Q42+R42-S42</f>
        <v>15999999.999999998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46109.59+119116.44+115273.97+119116.44</f>
        <v>399616.44</v>
      </c>
      <c r="S43" s="3">
        <f>46109.59+119116.44+115273.97+119116.44</f>
        <v>399616.44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2481850.86</v>
      </c>
      <c r="S44" s="5">
        <f t="shared" si="5"/>
        <v>2401800.27</v>
      </c>
      <c r="T44" s="5">
        <f t="shared" si="5"/>
        <v>80050.58999999997</v>
      </c>
      <c r="U44" s="5">
        <f t="shared" si="5"/>
        <v>41080050.589999996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2819194.73</v>
      </c>
      <c r="S48" s="23">
        <f t="shared" si="7"/>
        <v>2739144.14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40">
      <selection activeCell="I44" sqref="I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126</v>
      </c>
      <c r="K8" s="11" t="s">
        <v>70</v>
      </c>
      <c r="L8" s="11" t="s">
        <v>71</v>
      </c>
      <c r="M8" s="11" t="s">
        <v>127</v>
      </c>
      <c r="N8" s="11" t="s">
        <v>124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80050.6+72303.77+80050.59+77468.32+80050.59+77468.32+80050.6+80050.59+77468.32+80050.59+77468.32</f>
        <v>862480.6099999999</v>
      </c>
      <c r="S41" s="3">
        <f>80050.6+72303.77+80050.59+77468.32+80050.59+77468.32+80050.6+80050.59+77468.32+80050.59</f>
        <v>785012.2899999999</v>
      </c>
      <c r="T41" s="6">
        <f>Q41+R41-S41</f>
        <v>77468.31999999995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134</v>
      </c>
      <c r="D42" s="131" t="s">
        <v>64</v>
      </c>
      <c r="E42" s="17">
        <v>50000000</v>
      </c>
      <c r="F42" s="151" t="s">
        <v>128</v>
      </c>
      <c r="G42" s="154" t="s">
        <v>62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v>2884.38</v>
      </c>
      <c r="S42" s="3">
        <v>2884.38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74</v>
      </c>
      <c r="D43" s="131" t="s">
        <v>41</v>
      </c>
      <c r="E43" s="17">
        <v>160000000</v>
      </c>
      <c r="F43" s="151" t="s">
        <v>76</v>
      </c>
      <c r="G43" s="154" t="s">
        <v>75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</f>
        <v>1425237.4700000002</v>
      </c>
      <c r="S43" s="3">
        <f>132282.52+119480.99+132282.52+128015.34+132282.52+128015.34+132282.52+132282.52+128015.34+132282.52+128015.34</f>
        <v>1425237.4700000002</v>
      </c>
      <c r="T43" s="6">
        <f>Q43+R43-S43</f>
        <v>0</v>
      </c>
      <c r="U43" s="6">
        <f>N43+Q43+R43-S43</f>
        <v>15999999.999999998</v>
      </c>
      <c r="V43" s="25"/>
    </row>
    <row r="44" spans="1:22" ht="69" customHeight="1">
      <c r="A44" s="158">
        <v>3</v>
      </c>
      <c r="B44" s="131" t="s">
        <v>23</v>
      </c>
      <c r="C44" s="157" t="s">
        <v>109</v>
      </c>
      <c r="D44" s="131" t="s">
        <v>110</v>
      </c>
      <c r="E44" s="17">
        <v>15000000</v>
      </c>
      <c r="F44" s="151" t="s">
        <v>111</v>
      </c>
      <c r="G44" s="154" t="s">
        <v>112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</f>
        <v>514890.41000000003</v>
      </c>
      <c r="S44" s="3">
        <f>46109.59+119116.44+115273.97+119116.44+115273.97</f>
        <v>514890.41000000003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0</v>
      </c>
      <c r="N45" s="5">
        <f t="shared" si="5"/>
        <v>46600000</v>
      </c>
      <c r="O45" s="5">
        <f t="shared" si="5"/>
        <v>46600000</v>
      </c>
      <c r="P45" s="5">
        <f t="shared" si="5"/>
        <v>0</v>
      </c>
      <c r="Q45" s="5">
        <f t="shared" si="5"/>
        <v>0</v>
      </c>
      <c r="R45" s="5">
        <f>R41+R43+R44+R42</f>
        <v>2805492.87</v>
      </c>
      <c r="S45" s="5">
        <f>S41+S43+S44+S42</f>
        <v>2728024.5500000003</v>
      </c>
      <c r="T45" s="5">
        <f>T41+T43+T44+T42</f>
        <v>77468.31999999995</v>
      </c>
      <c r="U45" s="5">
        <f>U41+U43+U44+U42</f>
        <v>46677468.32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11620000</v>
      </c>
      <c r="N49" s="23">
        <f t="shared" si="7"/>
        <v>88584000</v>
      </c>
      <c r="O49" s="23">
        <f t="shared" si="7"/>
        <v>88584000</v>
      </c>
      <c r="P49" s="23">
        <f t="shared" si="7"/>
        <v>0</v>
      </c>
      <c r="Q49" s="23">
        <f t="shared" si="7"/>
        <v>0</v>
      </c>
      <c r="R49" s="23">
        <f t="shared" si="7"/>
        <v>3142836.74</v>
      </c>
      <c r="S49" s="23">
        <f t="shared" si="7"/>
        <v>3065368.4200000004</v>
      </c>
      <c r="T49" s="23">
        <f t="shared" si="7"/>
        <v>77468.31999999995</v>
      </c>
      <c r="U49" s="23">
        <f t="shared" si="7"/>
        <v>88661468.32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43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5">
      <pane ySplit="3120" topLeftCell="A42" activePane="bottomLeft" state="split"/>
      <selection pane="topLeft" activeCell="R44" sqref="R44"/>
      <selection pane="bottomLeft" activeCell="G44" sqref="G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130</v>
      </c>
      <c r="K8" s="11" t="s">
        <v>70</v>
      </c>
      <c r="L8" s="11" t="s">
        <v>71</v>
      </c>
      <c r="M8" s="11" t="s">
        <v>131</v>
      </c>
      <c r="N8" s="11" t="s">
        <v>132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134</v>
      </c>
      <c r="D42" s="131" t="s">
        <v>64</v>
      </c>
      <c r="E42" s="17">
        <v>56000000</v>
      </c>
      <c r="F42" s="151" t="s">
        <v>128</v>
      </c>
      <c r="G42" s="154" t="s">
        <v>133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74</v>
      </c>
      <c r="D43" s="131" t="s">
        <v>41</v>
      </c>
      <c r="E43" s="17">
        <v>160000000</v>
      </c>
      <c r="F43" s="151" t="s">
        <v>76</v>
      </c>
      <c r="G43" s="154" t="s">
        <v>75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109</v>
      </c>
      <c r="D44" s="131" t="s">
        <v>110</v>
      </c>
      <c r="E44" s="17">
        <v>15000000</v>
      </c>
      <c r="F44" s="151" t="s">
        <v>111</v>
      </c>
      <c r="G44" s="154" t="s">
        <v>112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43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8.7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8.7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8.7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1">
      <pane xSplit="21165" topLeftCell="O1" activePane="topLeft" state="split"/>
      <selection pane="topLeft" activeCell="R32" sqref="R32"/>
      <selection pane="topRight" activeCell="O22" sqref="O2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G1">
      <selection activeCell="Q30" sqref="Q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92</v>
      </c>
      <c r="K8" s="11" t="s">
        <v>70</v>
      </c>
      <c r="L8" s="11" t="s">
        <v>71</v>
      </c>
      <c r="M8" s="11" t="s">
        <v>93</v>
      </c>
      <c r="N8" s="11" t="s">
        <v>94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</f>
        <v>3140000</v>
      </c>
      <c r="N30" s="52">
        <f aca="true" t="shared" si="2" ref="N30:N37">I30+J30-M30</f>
        <v>2340000</v>
      </c>
      <c r="O30" s="149">
        <f t="shared" si="0"/>
        <v>2340000</v>
      </c>
      <c r="P30" s="136"/>
      <c r="Q30" s="136"/>
      <c r="R30" s="150">
        <f>11244.19+8136.45+7466.64+5356.72</f>
        <v>32204</v>
      </c>
      <c r="S30" s="150">
        <f>11244.19+8136.45+7466.64</f>
        <v>26847.28</v>
      </c>
      <c r="T30" s="32">
        <f t="shared" si="1"/>
        <v>5356.720000000001</v>
      </c>
      <c r="U30" s="48">
        <f aca="true" t="shared" si="3" ref="U30:U37">O30+T30</f>
        <v>2345356.72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</f>
        <v>2000000</v>
      </c>
      <c r="N31" s="52">
        <f t="shared" si="2"/>
        <v>4000000</v>
      </c>
      <c r="O31" s="149">
        <f t="shared" si="0"/>
        <v>4000000</v>
      </c>
      <c r="P31" s="136"/>
      <c r="Q31" s="136"/>
      <c r="R31" s="150">
        <f>12667.32+10155.08+10261.23+8739.74</f>
        <v>41823.37</v>
      </c>
      <c r="S31" s="150">
        <f>12667.32+10155.08+10261.23</f>
        <v>33083.630000000005</v>
      </c>
      <c r="T31" s="32">
        <f t="shared" si="1"/>
        <v>8739.739999999998</v>
      </c>
      <c r="U31" s="48">
        <f>O31+T31</f>
        <v>4008739.74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</f>
        <v>2856000</v>
      </c>
      <c r="N33" s="52">
        <f t="shared" si="2"/>
        <v>9290000</v>
      </c>
      <c r="O33" s="149">
        <f t="shared" si="0"/>
        <v>9290000</v>
      </c>
      <c r="P33" s="136"/>
      <c r="Q33" s="136"/>
      <c r="R33" s="150"/>
      <c r="S33" s="137"/>
      <c r="T33" s="32">
        <f t="shared" si="1"/>
        <v>0</v>
      </c>
      <c r="U33" s="48">
        <f t="shared" si="3"/>
        <v>9290000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</f>
        <v>184000</v>
      </c>
      <c r="N34" s="52">
        <f t="shared" si="2"/>
        <v>710000</v>
      </c>
      <c r="O34" s="149">
        <f t="shared" si="0"/>
        <v>710000</v>
      </c>
      <c r="P34" s="136"/>
      <c r="Q34" s="136"/>
      <c r="R34" s="150"/>
      <c r="S34" s="137"/>
      <c r="T34" s="32">
        <f t="shared" si="1"/>
        <v>0</v>
      </c>
      <c r="U34" s="48">
        <f>O34+T34</f>
        <v>710000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</f>
        <v>1120000</v>
      </c>
      <c r="N35" s="52">
        <f t="shared" si="2"/>
        <v>5800000</v>
      </c>
      <c r="O35" s="149">
        <f t="shared" si="0"/>
        <v>5800000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5800000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9300000</v>
      </c>
      <c r="N38" s="133">
        <f t="shared" si="4"/>
        <v>44304000</v>
      </c>
      <c r="O38" s="133">
        <f t="shared" si="4"/>
        <v>44304000</v>
      </c>
      <c r="P38" s="133">
        <f>SUM(P23:P37)</f>
        <v>0</v>
      </c>
      <c r="Q38" s="133">
        <f t="shared" si="4"/>
        <v>0</v>
      </c>
      <c r="R38" s="133">
        <f>SUM(R23:R37)</f>
        <v>74027.37</v>
      </c>
      <c r="S38" s="133">
        <f>SUM(S23:S37)</f>
        <v>59930.91</v>
      </c>
      <c r="T38" s="133">
        <f>SUM(T23:T37)</f>
        <v>14096.46</v>
      </c>
      <c r="U38" s="133">
        <f>SUM(U23:U37)</f>
        <v>44318096.46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</f>
        <v>232404.96</v>
      </c>
      <c r="S40" s="3">
        <f>80050.6+72303.77+80050.59</f>
        <v>232404.96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</f>
        <v>512061.37</v>
      </c>
      <c r="S41" s="3">
        <f>132282.52+119480.99+132282.52+128015.34</f>
        <v>512061.37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744466.33</v>
      </c>
      <c r="S42" s="5">
        <f t="shared" si="5"/>
        <v>744466.33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9300000</v>
      </c>
      <c r="N46" s="23">
        <f t="shared" si="6"/>
        <v>70304000</v>
      </c>
      <c r="O46" s="23">
        <f t="shared" si="6"/>
        <v>70304000</v>
      </c>
      <c r="P46" s="23">
        <f t="shared" si="6"/>
        <v>0</v>
      </c>
      <c r="Q46" s="23">
        <f t="shared" si="6"/>
        <v>0</v>
      </c>
      <c r="R46" s="23">
        <f t="shared" si="6"/>
        <v>818493.7</v>
      </c>
      <c r="S46" s="23">
        <f t="shared" si="6"/>
        <v>804397.24</v>
      </c>
      <c r="T46" s="23">
        <f t="shared" si="6"/>
        <v>14096.46</v>
      </c>
      <c r="U46" s="23">
        <f t="shared" si="6"/>
        <v>70318096.46000001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34">
      <selection activeCell="R38" sqref="R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96</v>
      </c>
      <c r="K8" s="11" t="s">
        <v>70</v>
      </c>
      <c r="L8" s="11" t="s">
        <v>71</v>
      </c>
      <c r="M8" s="11" t="s">
        <v>97</v>
      </c>
      <c r="N8" s="11" t="s">
        <v>98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7">I30+J30-M30</f>
        <v>1560000</v>
      </c>
      <c r="O30" s="149">
        <f t="shared" si="0"/>
        <v>1560000</v>
      </c>
      <c r="P30" s="136"/>
      <c r="Q30" s="136"/>
      <c r="R30" s="150">
        <f>11244.19+8136.45+7466.64+5356.72+4250.3</f>
        <v>36454.3</v>
      </c>
      <c r="S30" s="150">
        <f>11244.19+8136.45+7466.64+5356.72</f>
        <v>32204</v>
      </c>
      <c r="T30" s="32">
        <f t="shared" si="1"/>
        <v>4250.300000000003</v>
      </c>
      <c r="U30" s="48">
        <f aca="true" t="shared" si="3" ref="U30:U37">O30+T30</f>
        <v>1564250.3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500000+500000+500000+500000+500000</f>
        <v>2500000</v>
      </c>
      <c r="N31" s="52">
        <f t="shared" si="2"/>
        <v>3500000</v>
      </c>
      <c r="O31" s="149">
        <f t="shared" si="0"/>
        <v>3500000</v>
      </c>
      <c r="P31" s="136"/>
      <c r="Q31" s="136"/>
      <c r="R31" s="150">
        <f>12667.32+10155.08+10261.23+8739.74+8208.96</f>
        <v>50032.33</v>
      </c>
      <c r="S31" s="150">
        <f>12667.32+10155.08+10261.23+8739.74</f>
        <v>41823.37</v>
      </c>
      <c r="T31" s="32">
        <f t="shared" si="1"/>
        <v>8208.96</v>
      </c>
      <c r="U31" s="48">
        <f>O31+T31</f>
        <v>3508208.96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8576000</v>
      </c>
      <c r="O33" s="149">
        <f t="shared" si="0"/>
        <v>8576000</v>
      </c>
      <c r="P33" s="136"/>
      <c r="Q33" s="136"/>
      <c r="R33" s="150"/>
      <c r="S33" s="137"/>
      <c r="T33" s="32">
        <f t="shared" si="1"/>
        <v>0</v>
      </c>
      <c r="U33" s="48">
        <f t="shared" si="3"/>
        <v>8576000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664000</v>
      </c>
      <c r="O34" s="149">
        <f t="shared" si="0"/>
        <v>664000</v>
      </c>
      <c r="P34" s="136"/>
      <c r="Q34" s="136"/>
      <c r="R34" s="150"/>
      <c r="S34" s="137"/>
      <c r="T34" s="32">
        <f t="shared" si="1"/>
        <v>0</v>
      </c>
      <c r="U34" s="48">
        <f>O34+T34</f>
        <v>664000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5520000</v>
      </c>
      <c r="O35" s="149">
        <f t="shared" si="0"/>
        <v>5520000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5520000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32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11620000</v>
      </c>
      <c r="N38" s="133">
        <f t="shared" si="4"/>
        <v>41984000</v>
      </c>
      <c r="O38" s="133">
        <f t="shared" si="4"/>
        <v>41984000</v>
      </c>
      <c r="P38" s="133">
        <f>SUM(P23:P37)</f>
        <v>0</v>
      </c>
      <c r="Q38" s="133">
        <f t="shared" si="4"/>
        <v>0</v>
      </c>
      <c r="R38" s="133">
        <f>SUM(R23:R37)</f>
        <v>86486.63</v>
      </c>
      <c r="S38" s="133">
        <f>SUM(S23:S37)</f>
        <v>74027.37</v>
      </c>
      <c r="T38" s="133">
        <f>SUM(T23:T37)</f>
        <v>12459.260000000002</v>
      </c>
      <c r="U38" s="133">
        <f>SUM(U23:U37)</f>
        <v>41996459.26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80050.6+72303.77+80050.59+77468.32</f>
        <v>309873.28</v>
      </c>
      <c r="S40" s="3">
        <f>80050.6+72303.77+80050.59+77468.32</f>
        <v>309873.28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132282.52+119480.99+132282.52+128015.34+132282.52</f>
        <v>644343.89</v>
      </c>
      <c r="S41" s="3">
        <f>132282.52+119480.99+132282.52+128015.34+132282.52</f>
        <v>644343.89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954217.17</v>
      </c>
      <c r="S42" s="5">
        <f t="shared" si="5"/>
        <v>954217.17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11620000</v>
      </c>
      <c r="N46" s="23">
        <f t="shared" si="6"/>
        <v>67984000</v>
      </c>
      <c r="O46" s="23">
        <f t="shared" si="6"/>
        <v>67984000</v>
      </c>
      <c r="P46" s="23">
        <f t="shared" si="6"/>
        <v>0</v>
      </c>
      <c r="Q46" s="23">
        <f t="shared" si="6"/>
        <v>0</v>
      </c>
      <c r="R46" s="23">
        <f t="shared" si="6"/>
        <v>1040703.8</v>
      </c>
      <c r="S46" s="23">
        <f t="shared" si="6"/>
        <v>1028244.54</v>
      </c>
      <c r="T46" s="23">
        <f t="shared" si="6"/>
        <v>12459.260000000002</v>
      </c>
      <c r="U46" s="23">
        <f t="shared" si="6"/>
        <v>67996459.25999999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C1">
      <selection activeCell="R39" sqref="R39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100</v>
      </c>
      <c r="K8" s="11" t="s">
        <v>70</v>
      </c>
      <c r="L8" s="11" t="s">
        <v>71</v>
      </c>
      <c r="M8" s="11" t="s">
        <v>101</v>
      </c>
      <c r="N8" s="11" t="s">
        <v>102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</f>
        <v>36454.3</v>
      </c>
      <c r="T30" s="32">
        <f t="shared" si="1"/>
        <v>1103.9800000000032</v>
      </c>
      <c r="U30" s="48">
        <f aca="true" t="shared" si="3" ref="U30:U38">O30+T30</f>
        <v>1103.9800000000032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</f>
        <v>50032.33</v>
      </c>
      <c r="T31" s="32">
        <f t="shared" si="1"/>
        <v>2476.8399999999965</v>
      </c>
      <c r="U31" s="48">
        <f>O31+T31</f>
        <v>2476.8399999999965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/>
      <c r="T32" s="32">
        <f t="shared" si="1"/>
        <v>9751.16</v>
      </c>
      <c r="U32" s="48">
        <f t="shared" si="3"/>
        <v>19673751.16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/>
      <c r="T33" s="32">
        <f t="shared" si="1"/>
        <v>120699.3</v>
      </c>
      <c r="U33" s="48">
        <f t="shared" si="3"/>
        <v>3698699.3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/>
      <c r="T34" s="32">
        <f t="shared" si="1"/>
        <v>9216.85</v>
      </c>
      <c r="U34" s="48">
        <f>O34+T34</f>
        <v>351216.85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/>
      <c r="T35" s="32">
        <f t="shared" si="1"/>
        <v>74990.43</v>
      </c>
      <c r="U35" s="48">
        <f t="shared" si="3"/>
        <v>3634990.43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/>
      <c r="T37" s="32">
        <f t="shared" si="1"/>
        <v>31942.52</v>
      </c>
      <c r="U37" s="48">
        <f t="shared" si="3"/>
        <v>2531942.52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/>
      <c r="T38" s="32">
        <f t="shared" si="1"/>
        <v>676.16</v>
      </c>
      <c r="U38" s="48">
        <f t="shared" si="3"/>
        <v>12340676.16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86486.63</v>
      </c>
      <c r="T39" s="133">
        <f t="shared" si="4"/>
        <v>250857.24</v>
      </c>
      <c r="U39" s="133">
        <f t="shared" si="4"/>
        <v>42234857.24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</f>
        <v>467392.19</v>
      </c>
      <c r="S41" s="3">
        <f>80050.6+72303.77+80050.59+77468.32+80050.59</f>
        <v>389923.87</v>
      </c>
      <c r="T41" s="6">
        <f>Q41+R41-S41</f>
        <v>77468.32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</f>
        <v>772359.23</v>
      </c>
      <c r="S42" s="3">
        <f>132282.52+119480.99+132282.52+128015.34+132282.52+128015.34</f>
        <v>772359.23</v>
      </c>
      <c r="T42" s="6">
        <f>Q42+R42-S42</f>
        <v>0</v>
      </c>
      <c r="U42" s="6">
        <f>N42+Q42+R42-S42</f>
        <v>16000000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>I41+I42</f>
        <v>26000000</v>
      </c>
      <c r="J43" s="5">
        <f aca="true" t="shared" si="5" ref="J43:AY43">J41+J42</f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26000000</v>
      </c>
      <c r="O43" s="5">
        <f t="shared" si="5"/>
        <v>26000000</v>
      </c>
      <c r="P43" s="5">
        <f t="shared" si="5"/>
        <v>0</v>
      </c>
      <c r="Q43" s="5">
        <f t="shared" si="5"/>
        <v>0</v>
      </c>
      <c r="R43" s="5">
        <f t="shared" si="5"/>
        <v>1239751.42</v>
      </c>
      <c r="S43" s="5">
        <f t="shared" si="5"/>
        <v>1162283.1</v>
      </c>
      <c r="T43" s="5">
        <f t="shared" si="5"/>
        <v>77468.32</v>
      </c>
      <c r="U43" s="5">
        <f t="shared" si="5"/>
        <v>26077468.32</v>
      </c>
      <c r="V43" s="5">
        <f t="shared" si="5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5">
        <f t="shared" si="5"/>
        <v>0</v>
      </c>
      <c r="AE43" s="5">
        <f t="shared" si="5"/>
        <v>0</v>
      </c>
      <c r="AF43" s="5">
        <f t="shared" si="5"/>
        <v>0</v>
      </c>
      <c r="AG43" s="5">
        <f t="shared" si="5"/>
        <v>0</v>
      </c>
      <c r="AH43" s="5">
        <f t="shared" si="5"/>
        <v>0</v>
      </c>
      <c r="AI43" s="5">
        <f t="shared" si="5"/>
        <v>0</v>
      </c>
      <c r="AJ43" s="5">
        <f t="shared" si="5"/>
        <v>0</v>
      </c>
      <c r="AK43" s="5">
        <f t="shared" si="5"/>
        <v>0</v>
      </c>
      <c r="AL43" s="5">
        <f t="shared" si="5"/>
        <v>0</v>
      </c>
      <c r="AM43" s="5">
        <f t="shared" si="5"/>
        <v>0</v>
      </c>
      <c r="AN43" s="5">
        <f t="shared" si="5"/>
        <v>0</v>
      </c>
      <c r="AO43" s="5">
        <f t="shared" si="5"/>
        <v>0</v>
      </c>
      <c r="AP43" s="5">
        <f t="shared" si="5"/>
        <v>0</v>
      </c>
      <c r="AQ43" s="5">
        <f t="shared" si="5"/>
        <v>0</v>
      </c>
      <c r="AR43" s="5">
        <f t="shared" si="5"/>
        <v>0</v>
      </c>
      <c r="AS43" s="5">
        <f t="shared" si="5"/>
        <v>0</v>
      </c>
      <c r="AT43" s="5">
        <f t="shared" si="5"/>
        <v>0</v>
      </c>
      <c r="AU43" s="5">
        <f t="shared" si="5"/>
        <v>0</v>
      </c>
      <c r="AV43" s="5">
        <f t="shared" si="5"/>
        <v>0</v>
      </c>
      <c r="AW43" s="5">
        <f t="shared" si="5"/>
        <v>0</v>
      </c>
      <c r="AX43" s="5">
        <f t="shared" si="5"/>
        <v>0</v>
      </c>
      <c r="AY43" s="5">
        <f t="shared" si="5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6" ref="I47:U47">I39+I43</f>
        <v>79604000</v>
      </c>
      <c r="J47" s="23">
        <f t="shared" si="6"/>
        <v>0</v>
      </c>
      <c r="K47" s="23">
        <f t="shared" si="6"/>
        <v>12166000</v>
      </c>
      <c r="L47" s="23">
        <f t="shared" si="6"/>
        <v>5214000</v>
      </c>
      <c r="M47" s="23">
        <f t="shared" si="6"/>
        <v>11620000</v>
      </c>
      <c r="N47" s="23">
        <f t="shared" si="6"/>
        <v>67984000</v>
      </c>
      <c r="O47" s="23">
        <f t="shared" si="6"/>
        <v>67984000</v>
      </c>
      <c r="P47" s="23">
        <f t="shared" si="6"/>
        <v>0</v>
      </c>
      <c r="Q47" s="23">
        <f t="shared" si="6"/>
        <v>0</v>
      </c>
      <c r="R47" s="23">
        <f t="shared" si="6"/>
        <v>1577095.29</v>
      </c>
      <c r="S47" s="23">
        <f t="shared" si="6"/>
        <v>1248769.73</v>
      </c>
      <c r="T47" s="23">
        <f t="shared" si="6"/>
        <v>328325.56</v>
      </c>
      <c r="U47" s="23">
        <f t="shared" si="6"/>
        <v>68312325.56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35</v>
      </c>
      <c r="C49" s="10"/>
      <c r="D49" s="10"/>
      <c r="E49" s="10"/>
      <c r="F49" s="10"/>
      <c r="G49" s="10"/>
      <c r="H49" s="10"/>
      <c r="I49" s="24" t="s">
        <v>39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43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8.7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8.7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8.7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1">
      <selection activeCell="H8" sqref="H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105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106</v>
      </c>
      <c r="K8" s="11" t="s">
        <v>70</v>
      </c>
      <c r="L8" s="11" t="s">
        <v>71</v>
      </c>
      <c r="M8" s="11" t="s">
        <v>107</v>
      </c>
      <c r="N8" s="11" t="s">
        <v>108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</f>
        <v>547442.79</v>
      </c>
      <c r="S41" s="3">
        <f>80050.6+72303.77+80050.59+77468.32+80050.59+77468.32</f>
        <v>467392.19</v>
      </c>
      <c r="T41" s="6">
        <f>Q41+R41-S41</f>
        <v>80050.60000000003</v>
      </c>
      <c r="U41" s="6">
        <f>N41+Q41+R41-S41</f>
        <v>10080050.6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</f>
        <v>904641.75</v>
      </c>
      <c r="S42" s="3">
        <f>132282.52+119480.99+132282.52+128015.34+132282.52+128015.34+132282.52</f>
        <v>904641.75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v>46109.59</v>
      </c>
      <c r="S43" s="3">
        <v>46109.59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1498194.1300000001</v>
      </c>
      <c r="S44" s="5">
        <f t="shared" si="5"/>
        <v>1418143.53</v>
      </c>
      <c r="T44" s="5">
        <f t="shared" si="5"/>
        <v>80050.60000000003</v>
      </c>
      <c r="U44" s="5">
        <f t="shared" si="5"/>
        <v>41080050.6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1835538.0000000002</v>
      </c>
      <c r="S48" s="23">
        <f t="shared" si="7"/>
        <v>1755487.4000000001</v>
      </c>
      <c r="T48" s="23">
        <f t="shared" si="7"/>
        <v>80050.60000000003</v>
      </c>
      <c r="U48" s="23">
        <f t="shared" si="7"/>
        <v>83064050.6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G37">
      <selection activeCell="R44" sqref="R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114</v>
      </c>
      <c r="K8" s="11" t="s">
        <v>70</v>
      </c>
      <c r="L8" s="11" t="s">
        <v>71</v>
      </c>
      <c r="M8" s="11" t="s">
        <v>115</v>
      </c>
      <c r="N8" s="11" t="s">
        <v>116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</f>
        <v>627493.38</v>
      </c>
      <c r="S41" s="3">
        <f>80050.6+72303.77+80050.59+77468.32+80050.59+77468.32+80050.6</f>
        <v>547442.79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</f>
        <v>1036924.27</v>
      </c>
      <c r="S42" s="3">
        <f>132282.52+119480.99+132282.52+128015.34+132282.52+128015.34+132282.52+132282.52</f>
        <v>1036924.27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</f>
        <v>165226.03</v>
      </c>
      <c r="S43" s="3">
        <f>46109.59+119116.44</f>
        <v>165226.03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1829643.68</v>
      </c>
      <c r="S44" s="5">
        <f t="shared" si="5"/>
        <v>1749593.09</v>
      </c>
      <c r="T44" s="5">
        <f t="shared" si="5"/>
        <v>80050.58999999997</v>
      </c>
      <c r="U44" s="5">
        <f t="shared" si="5"/>
        <v>41080050.59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2166987.55</v>
      </c>
      <c r="S48" s="23">
        <f t="shared" si="7"/>
        <v>2086936.9600000002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8.7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8.7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8.7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rfu9</cp:lastModifiedBy>
  <cp:lastPrinted>2020-01-10T13:14:05Z</cp:lastPrinted>
  <dcterms:created xsi:type="dcterms:W3CDTF">2000-01-05T08:20:30Z</dcterms:created>
  <dcterms:modified xsi:type="dcterms:W3CDTF">2020-04-14T06:38:10Z</dcterms:modified>
  <cp:category/>
  <cp:version/>
  <cp:contentType/>
  <cp:contentStatus/>
</cp:coreProperties>
</file>