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2" windowWidth="9720" windowHeight="4560" tabRatio="902" firstSheet="8" activeTab="8"/>
  </bookViews>
  <sheets>
    <sheet name="01,01,19" sheetId="1" r:id="rId1"/>
    <sheet name="01,02,19" sheetId="2" r:id="rId2"/>
    <sheet name="01,03,19 " sheetId="3" r:id="rId3"/>
    <sheet name="01,04,19  " sheetId="4" r:id="rId4"/>
    <sheet name="01,05,19  " sheetId="5" r:id="rId5"/>
    <sheet name="01,06,19  " sheetId="6" r:id="rId6"/>
    <sheet name="01,07,19   " sheetId="7" r:id="rId7"/>
    <sheet name="01,08.19    " sheetId="8" r:id="rId8"/>
    <sheet name="01,09.19    " sheetId="9" r:id="rId9"/>
    <sheet name="01,10.19    " sheetId="10" state="hidden" r:id="rId10"/>
    <sheet name="01,11.19    " sheetId="11" state="hidden" r:id="rId11"/>
    <sheet name="01,12.19     " sheetId="12" state="hidden" r:id="rId12"/>
    <sheet name="01,01.20    " sheetId="13" state="hidden" r:id="rId13"/>
    <sheet name="Лист1" sheetId="14" r:id="rId14"/>
  </sheets>
  <definedNames>
    <definedName name="С55" localSheetId="0">#REF!</definedName>
    <definedName name="С55" localSheetId="12">#REF!</definedName>
    <definedName name="С55" localSheetId="1">#REF!</definedName>
    <definedName name="С55" localSheetId="2">#REF!</definedName>
    <definedName name="С55" localSheetId="3">#REF!</definedName>
    <definedName name="С55" localSheetId="4">#REF!</definedName>
    <definedName name="С55" localSheetId="5">#REF!</definedName>
    <definedName name="С55" localSheetId="6">#REF!</definedName>
    <definedName name="С55" localSheetId="7">#REF!</definedName>
    <definedName name="С55" localSheetId="8">#REF!</definedName>
    <definedName name="С55" localSheetId="9">#REF!</definedName>
    <definedName name="С55" localSheetId="10">#REF!</definedName>
    <definedName name="С55" localSheetId="11">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<sst xmlns="http://schemas.openxmlformats.org/spreadsheetml/2006/main" count="1373" uniqueCount="135">
  <si>
    <t>Номер п/п</t>
  </si>
  <si>
    <t xml:space="preserve">Дата возникновения (исполнения) обязательства по договору, № документа </t>
  </si>
  <si>
    <t>Объем долгового обязательства по договору (рубли)</t>
  </si>
  <si>
    <t xml:space="preserve">Срок  погашения долгового обязательства </t>
  </si>
  <si>
    <t>Форма обеспечения обязательства, № документа</t>
  </si>
  <si>
    <t>IV.</t>
  </si>
  <si>
    <t>Наименование кредитора (принципала)</t>
  </si>
  <si>
    <t>I.</t>
  </si>
  <si>
    <t>II.</t>
  </si>
  <si>
    <t xml:space="preserve"> </t>
  </si>
  <si>
    <t xml:space="preserve">Процентная ставка </t>
  </si>
  <si>
    <t xml:space="preserve">Муниципальные займы, осуществляемые путем выпуска ценных бумаг </t>
  </si>
  <si>
    <t>МУНИЦИПАЛЬНАЯ ДОЛГОВАЯ КНИГА</t>
  </si>
  <si>
    <t>руб.</t>
  </si>
  <si>
    <t>исполнитель Токко О.В.</t>
  </si>
  <si>
    <t>Бюджетный кредит</t>
  </si>
  <si>
    <t>Всего муниципальный долг</t>
  </si>
  <si>
    <t>Наименование долгового обязательства</t>
  </si>
  <si>
    <t>Всего муниципальный долг на конец отчетного периода</t>
  </si>
  <si>
    <t xml:space="preserve">III. Договоры и соглашения о получении бюджетных  кредитов от бюджетов других уровней </t>
  </si>
  <si>
    <t>тел.4-19-03</t>
  </si>
  <si>
    <t>Итого по разделу</t>
  </si>
  <si>
    <t xml:space="preserve"> Муниципальных гарантий </t>
  </si>
  <si>
    <t>Кредиты, полученные муниципальным образованием от кредитных организаций</t>
  </si>
  <si>
    <t>Бюджетные кредиты, привлеченные в местный бюджет от других бюджетов бюджетной системы Российской Федерации</t>
  </si>
  <si>
    <t>Муниципальные ценные бумаги</t>
  </si>
  <si>
    <t>Олонецкого национального муниципального района</t>
  </si>
  <si>
    <t xml:space="preserve">Начальник  районного финансового управления </t>
  </si>
  <si>
    <t>Казна муниципального образования</t>
  </si>
  <si>
    <t xml:space="preserve">Остаток долга по процентам на начало года </t>
  </si>
  <si>
    <t>Погашено процентов и пеней с начала отчетного периода</t>
  </si>
  <si>
    <t>Начислено процентов и пеней с начала отчетного периода</t>
  </si>
  <si>
    <t xml:space="preserve">Остаток долга по процентам и пеням  на конец отчетн. периода  </t>
  </si>
  <si>
    <t xml:space="preserve">Остаток долговых обязательств  на конец отчетн. периода  </t>
  </si>
  <si>
    <t>Министерство Финансов Республики Карелия</t>
  </si>
  <si>
    <t>Глава Олонецкого национального муниципального района</t>
  </si>
  <si>
    <t>Образование долгового обязательства  за отчетный период (январь)</t>
  </si>
  <si>
    <t>№9-1/13 от 09.08.2013г</t>
  </si>
  <si>
    <t>№9-2/13 от 2412.2013г</t>
  </si>
  <si>
    <t>С.К. Прокопьев</t>
  </si>
  <si>
    <t>Погашение долгового  обязательства за отчетный период (январь)</t>
  </si>
  <si>
    <t>ПАО "Совкомбанк"</t>
  </si>
  <si>
    <t>20.11.2018г.</t>
  </si>
  <si>
    <t xml:space="preserve">Т.Н.Столярова </t>
  </si>
  <si>
    <t>№9-1/16 от03.08.2016 год</t>
  </si>
  <si>
    <t>22.07.2019г.</t>
  </si>
  <si>
    <t>№9-2/16 от23.12.2016 год</t>
  </si>
  <si>
    <t>№9-2/14 р (к дог 9-2/14 от 10.07.2014г.) от 24.06.2016г.</t>
  </si>
  <si>
    <t>№9-1/14 р (к дог 9-1/14 от 11.03.2014г.) от 24.06.2016г.</t>
  </si>
  <si>
    <t>Соглашение о реструктуризации №9-1\17р от 23.01.2017г.</t>
  </si>
  <si>
    <t>15.12.2021г.</t>
  </si>
  <si>
    <t xml:space="preserve"> №9-1\17р от 19.06.2017г.</t>
  </si>
  <si>
    <t>23.06.2020г.</t>
  </si>
  <si>
    <t>23.06.2020 г</t>
  </si>
  <si>
    <t>20.12.2018г.</t>
  </si>
  <si>
    <t xml:space="preserve"> №9-2\17р от 11.08.2017г.</t>
  </si>
  <si>
    <t>ставка по кредиту (%)</t>
  </si>
  <si>
    <t>Образование долгового обязательства  за отчетный период (январь-декабрь)</t>
  </si>
  <si>
    <t>Погашение долгового  обязательства за отчетный период (январь-декабрь)</t>
  </si>
  <si>
    <t>Остаток долгового обязательства на конец отчетного периода (1.01.2018)</t>
  </si>
  <si>
    <t xml:space="preserve"> №9-3\17 от 25.12.2017г.</t>
  </si>
  <si>
    <t>1/3</t>
  </si>
  <si>
    <t>9,43</t>
  </si>
  <si>
    <t>№0106300009117000049 от 19.12.2017г.</t>
  </si>
  <si>
    <t>АКБ "НООСФЕРА"</t>
  </si>
  <si>
    <t>19.02.2020г.</t>
  </si>
  <si>
    <t>№9-1/15 от 15.06.2015г.</t>
  </si>
  <si>
    <t>№9-3/15 от 10.11.2015 год</t>
  </si>
  <si>
    <t>№9-4/15 от 24.12.2015 год</t>
  </si>
  <si>
    <t>Остаток долгового обязательства на начало отчетного периода (1.01.2018)</t>
  </si>
  <si>
    <t>Списаны долговые обязательства</t>
  </si>
  <si>
    <t>реструктуризированны долговые обязательства</t>
  </si>
  <si>
    <t>№9-1/18р от 16.02.18г. (реструктуризация)</t>
  </si>
  <si>
    <t>15.11.2018г.</t>
  </si>
  <si>
    <t>№0106300009118000048 от 31.08.2018г.</t>
  </si>
  <si>
    <t>9,73</t>
  </si>
  <si>
    <t>31.08.2020г.</t>
  </si>
  <si>
    <t>25.08.2021г.</t>
  </si>
  <si>
    <t xml:space="preserve">№9-1/18 от 10.09.18г. </t>
  </si>
  <si>
    <t>по состоянию на  1.01.2019 года</t>
  </si>
  <si>
    <t>по состоянию на  1.02.2019 года</t>
  </si>
  <si>
    <t>Остаток долгового обязательства на начало отчетного периода (1.01.2019)</t>
  </si>
  <si>
    <t>по состоянию на  1.03.2019 года</t>
  </si>
  <si>
    <t>Образование долгового обязательства  за отчетный период (февраль)</t>
  </si>
  <si>
    <t>Погашение долгового  обязательства за отчетный период (февраль)</t>
  </si>
  <si>
    <t>Остаток долгового обязательства на конец отчетного периода (1.03.2019)</t>
  </si>
  <si>
    <t>Остаток долгового обязательства на конец отчетного периода (1.02.2019)</t>
  </si>
  <si>
    <t>по состоянию на  1.04.2019 года</t>
  </si>
  <si>
    <t>Остаток долгового обязательства на конец отчетного периода (1.04.2019)</t>
  </si>
  <si>
    <t>Образование долгового обязательства  за отчетный период (март)</t>
  </si>
  <si>
    <t>Погашение долгового  обязательства за отчетный период (март)</t>
  </si>
  <si>
    <t>по состоянию на  1.05.2019 года</t>
  </si>
  <si>
    <t>Образование долгового обязательства  за отчетный период (апрель)</t>
  </si>
  <si>
    <t>Погашение долгового  обязательства за отчетный период (апрель)</t>
  </si>
  <si>
    <t>Остаток долгового обязательства на конец отчетного периода (1.05.2019)</t>
  </si>
  <si>
    <t>по состоянию на  1.06.2019 года</t>
  </si>
  <si>
    <t>Образование долгового обязательства  за отчетный период (май)</t>
  </si>
  <si>
    <t>Погашение долгового  обязательства за отчетный период (май)</t>
  </si>
  <si>
    <t>Остаток долгового обязательства на конец отчетного периода (1.06.2019)</t>
  </si>
  <si>
    <t>по состоянию на  1.07.2019 года</t>
  </si>
  <si>
    <t>Образование долгового обязательства  за отчетный период (июнь)</t>
  </si>
  <si>
    <t>Погашение долгового  обязательства за отчетный период (июнь)</t>
  </si>
  <si>
    <t>Остаток долгового обязательства на конец отчетного периода (1.07.2019)</t>
  </si>
  <si>
    <t xml:space="preserve">№9-1/19р от 11.06.19г. </t>
  </si>
  <si>
    <t>25.12.2021г.</t>
  </si>
  <si>
    <t>по состоянию на  1.08.2019 года</t>
  </si>
  <si>
    <t>Образование долгового обязательства  за отчетный период (июль)</t>
  </si>
  <si>
    <t>Погашение долгового  обязательства за отчетный период (июль)</t>
  </si>
  <si>
    <t>Остаток долгового обязательства на конец отчетного периода (1.08.2019)</t>
  </si>
  <si>
    <t>№0106300009119000047 от 16.07.2019г.</t>
  </si>
  <si>
    <t>ПАО "Сбербанк России"</t>
  </si>
  <si>
    <t>17.07.2021г.</t>
  </si>
  <si>
    <t>9,35</t>
  </si>
  <si>
    <t>по состоянию на  1.09.2019 года</t>
  </si>
  <si>
    <t>Образование долгового обязательства  за отчетный период (январь-август)</t>
  </si>
  <si>
    <t>Погашение долгового  обязательства за отчетный период (январь-август)</t>
  </si>
  <si>
    <t>Остаток долгового обязательства на конец отчетного периода (1.09.2019)</t>
  </si>
  <si>
    <t>по состоянию на  1.10.2019 года</t>
  </si>
  <si>
    <t>Образование долгового обязательства  за отчетный период (январь-сентябрь)</t>
  </si>
  <si>
    <t>Погашение долгового  обязательства за отчетный период (январь-сентябрь)</t>
  </si>
  <si>
    <t>Остаток долгового обязательства на конец отчетного периода (1.10.2019)</t>
  </si>
  <si>
    <t>по состоянию на  1.11.2019 года</t>
  </si>
  <si>
    <t>Образование долгового обязательства  за отчетный период (январь-октябрь)</t>
  </si>
  <si>
    <t>Погашение долгового  обязательства за отчетный период (январь-окктябрь)</t>
  </si>
  <si>
    <t>Остаток долгового обязательства на конец отчетного периода (1.11.2019)</t>
  </si>
  <si>
    <t>по состоянию на  1.12.2019 года</t>
  </si>
  <si>
    <t>Образование долгового обязательства  за отчетный период (январь-ноября)</t>
  </si>
  <si>
    <t>Погашение долгового  обязательства за отчетный период (январь-ноября)</t>
  </si>
  <si>
    <t>27.11.2021г.</t>
  </si>
  <si>
    <t>по состоянию на  1.01.2020года</t>
  </si>
  <si>
    <t>Образование долгового обязательства  за отчетный период (январь-декабря)</t>
  </si>
  <si>
    <t>Погашение долгового  обязательства за отчетный период (январь-декабря)</t>
  </si>
  <si>
    <t>Остаток долгового обязательства на конец отчетного периода (1.01.2020)</t>
  </si>
  <si>
    <t>9,4</t>
  </si>
  <si>
    <t>№0106300009119000057 от 19.11.2019г.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</si>
</sst>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[$-FC19]d\ mmmm\ yyyy\ &quot;г.&quot;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sz val="8"/>
      <name val="Times New Roman"/>
      <family val="1"/>
    </font>
    <font>
      <b/>
      <i/>
      <sz val="8"/>
      <name val="Times New Roman Cyr"/>
      <family val="1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2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2" fontId="14" fillId="0" borderId="15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/>
    </xf>
    <xf numFmtId="2" fontId="14" fillId="0" borderId="15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" vertical="center"/>
    </xf>
    <xf numFmtId="2" fontId="13" fillId="0" borderId="1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172" fontId="13" fillId="0" borderId="1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2" fontId="13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2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23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/>
    </xf>
    <xf numFmtId="0" fontId="3" fillId="0" borderId="25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4" fontId="4" fillId="0" borderId="11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2" fontId="4" fillId="0" borderId="16" xfId="0" applyNumberFormat="1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3" fillId="0" borderId="2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/>
    </xf>
    <xf numFmtId="0" fontId="3" fillId="0" borderId="2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left" vertical="center"/>
    </xf>
    <xf numFmtId="0" fontId="4" fillId="0" borderId="32" xfId="0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wrapText="1"/>
    </xf>
    <xf numFmtId="14" fontId="4" fillId="0" borderId="11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2" fontId="13" fillId="0" borderId="14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72" fontId="4" fillId="0" borderId="34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36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left" vertical="center"/>
    </xf>
    <xf numFmtId="172" fontId="13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/>
    </xf>
    <xf numFmtId="14" fontId="4" fillId="0" borderId="11" xfId="0" applyNumberFormat="1" applyFont="1" applyFill="1" applyBorder="1" applyAlignment="1">
      <alignment wrapText="1"/>
    </xf>
    <xf numFmtId="2" fontId="13" fillId="0" borderId="11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right" wrapText="1"/>
    </xf>
    <xf numFmtId="49" fontId="13" fillId="0" borderId="14" xfId="0" applyNumberFormat="1" applyFont="1" applyFill="1" applyBorder="1" applyAlignment="1">
      <alignment/>
    </xf>
    <xf numFmtId="2" fontId="13" fillId="0" borderId="1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31" xfId="0" applyFont="1" applyFill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0" fillId="0" borderId="38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zoomScalePageLayoutView="0" workbookViewId="0" topLeftCell="F5">
      <pane ySplit="3096" topLeftCell="A29" activePane="bottomLeft" state="split"/>
      <selection pane="topLeft" activeCell="A5" sqref="A5"/>
      <selection pane="bottomLeft" activeCell="S38" sqref="S38"/>
    </sheetView>
  </sheetViews>
  <sheetFormatPr defaultColWidth="9.125" defaultRowHeight="12.75"/>
  <cols>
    <col min="1" max="1" width="3.625" style="8" customWidth="1"/>
    <col min="2" max="2" width="7.50390625" style="8" customWidth="1"/>
    <col min="3" max="3" width="15.5039062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375" style="8" customWidth="1"/>
    <col min="9" max="9" width="16.50390625" style="8" customWidth="1"/>
    <col min="10" max="10" width="15.625" style="8" customWidth="1"/>
    <col min="11" max="12" width="13.125" style="8" hidden="1" customWidth="1"/>
    <col min="13" max="13" width="14.50390625" style="8" customWidth="1"/>
    <col min="14" max="14" width="17.50390625" style="8" customWidth="1"/>
    <col min="15" max="15" width="18.00390625" style="8" customWidth="1"/>
    <col min="16" max="16" width="6.50390625" style="8" customWidth="1"/>
    <col min="17" max="17" width="14.00390625" style="8" customWidth="1"/>
    <col min="18" max="18" width="13.50390625" style="8" customWidth="1"/>
    <col min="19" max="20" width="14.125" style="8" customWidth="1"/>
    <col min="21" max="21" width="17.00390625" style="8" customWidth="1"/>
    <col min="22" max="22" width="2.50390625" style="8" hidden="1" customWidth="1"/>
    <col min="23" max="23" width="15.125" style="8" hidden="1" customWidth="1"/>
    <col min="24" max="24" width="12.875" style="8" hidden="1" customWidth="1"/>
    <col min="25" max="25" width="11.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79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69</v>
      </c>
      <c r="J8" s="11" t="s">
        <v>57</v>
      </c>
      <c r="K8" s="11" t="s">
        <v>70</v>
      </c>
      <c r="L8" s="11" t="s">
        <v>71</v>
      </c>
      <c r="M8" s="11" t="s">
        <v>58</v>
      </c>
      <c r="N8" s="11" t="s">
        <v>59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>
        <v>0</v>
      </c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>
        <v>-49.72</v>
      </c>
      <c r="R23" s="5">
        <v>49.72</v>
      </c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>
      <c r="A24" s="50">
        <v>2</v>
      </c>
      <c r="B24" s="42" t="s">
        <v>15</v>
      </c>
      <c r="C24" s="51" t="s">
        <v>38</v>
      </c>
      <c r="D24" s="51" t="s">
        <v>34</v>
      </c>
      <c r="E24" s="44">
        <v>10000000</v>
      </c>
      <c r="F24" s="45" t="s">
        <v>52</v>
      </c>
      <c r="G24" s="45"/>
      <c r="H24" s="46" t="s">
        <v>28</v>
      </c>
      <c r="I24" s="32">
        <v>0</v>
      </c>
      <c r="J24" s="32"/>
      <c r="K24" s="32"/>
      <c r="L24" s="32"/>
      <c r="M24" s="32"/>
      <c r="N24" s="52">
        <f aca="true" t="shared" si="2" ref="N24:N37">I24+J24-M24</f>
        <v>0</v>
      </c>
      <c r="O24" s="47">
        <f t="shared" si="0"/>
        <v>0</v>
      </c>
      <c r="P24" s="7"/>
      <c r="Q24" s="7">
        <v>-164.25</v>
      </c>
      <c r="R24" s="5">
        <v>164.25</v>
      </c>
      <c r="S24" s="5"/>
      <c r="T24" s="6">
        <f t="shared" si="1"/>
        <v>0</v>
      </c>
      <c r="U24" s="48">
        <f aca="true" t="shared" si="3" ref="U24:U37">O24+T24</f>
        <v>0</v>
      </c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>
      <c r="A25" s="50">
        <v>3</v>
      </c>
      <c r="B25" s="42"/>
      <c r="C25" s="51" t="s">
        <v>48</v>
      </c>
      <c r="D25" s="51" t="s">
        <v>34</v>
      </c>
      <c r="E25" s="44"/>
      <c r="F25" s="45" t="s">
        <v>53</v>
      </c>
      <c r="G25" s="45"/>
      <c r="H25" s="46"/>
      <c r="I25" s="32">
        <v>0</v>
      </c>
      <c r="J25" s="32"/>
      <c r="K25" s="32"/>
      <c r="L25" s="32"/>
      <c r="M25" s="32"/>
      <c r="N25" s="52">
        <f t="shared" si="2"/>
        <v>0</v>
      </c>
      <c r="O25" s="47">
        <f t="shared" si="0"/>
        <v>0</v>
      </c>
      <c r="P25" s="7"/>
      <c r="Q25" s="7">
        <v>-166.44</v>
      </c>
      <c r="R25" s="5">
        <v>166.44</v>
      </c>
      <c r="S25" s="5"/>
      <c r="T25" s="6">
        <f t="shared" si="1"/>
        <v>0</v>
      </c>
      <c r="U25" s="48">
        <f t="shared" si="3"/>
        <v>0</v>
      </c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>
      <c r="A26" s="50">
        <v>4</v>
      </c>
      <c r="B26" s="42"/>
      <c r="C26" s="51" t="s">
        <v>47</v>
      </c>
      <c r="D26" s="51"/>
      <c r="E26" s="44"/>
      <c r="F26" s="45" t="s">
        <v>53</v>
      </c>
      <c r="G26" s="45"/>
      <c r="H26" s="46"/>
      <c r="I26" s="32">
        <v>0</v>
      </c>
      <c r="J26" s="32"/>
      <c r="K26" s="32"/>
      <c r="L26" s="32"/>
      <c r="M26" s="32"/>
      <c r="N26" s="52">
        <f t="shared" si="2"/>
        <v>0</v>
      </c>
      <c r="O26" s="47">
        <f t="shared" si="0"/>
        <v>0</v>
      </c>
      <c r="P26" s="7"/>
      <c r="Q26" s="7">
        <v>-82.06</v>
      </c>
      <c r="R26" s="5">
        <v>82.06</v>
      </c>
      <c r="S26" s="5"/>
      <c r="T26" s="6">
        <f t="shared" si="1"/>
        <v>0</v>
      </c>
      <c r="U26" s="48">
        <f t="shared" si="3"/>
        <v>0</v>
      </c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>
      <c r="A27" s="41">
        <v>5</v>
      </c>
      <c r="B27" s="131" t="s">
        <v>15</v>
      </c>
      <c r="C27" s="51" t="s">
        <v>66</v>
      </c>
      <c r="D27" s="43" t="s">
        <v>34</v>
      </c>
      <c r="E27" s="44">
        <v>10000000</v>
      </c>
      <c r="F27" s="45">
        <v>43240</v>
      </c>
      <c r="G27" s="92"/>
      <c r="H27" s="132" t="s">
        <v>28</v>
      </c>
      <c r="I27" s="32">
        <v>10000000</v>
      </c>
      <c r="J27" s="44">
        <f>-(K27+L27)</f>
        <v>-8000000</v>
      </c>
      <c r="K27" s="44">
        <v>5600000</v>
      </c>
      <c r="L27" s="44">
        <v>2400000</v>
      </c>
      <c r="M27" s="32">
        <v>2000000</v>
      </c>
      <c r="N27" s="52">
        <f t="shared" si="2"/>
        <v>0</v>
      </c>
      <c r="O27" s="47">
        <f t="shared" si="0"/>
        <v>0</v>
      </c>
      <c r="P27" s="4"/>
      <c r="Q27" s="4">
        <v>22715.62</v>
      </c>
      <c r="R27" s="5">
        <f>20664+8419.29</f>
        <v>29083.29</v>
      </c>
      <c r="S27" s="93">
        <f>22715.62+20664+8419.29</f>
        <v>51798.909999999996</v>
      </c>
      <c r="T27" s="6">
        <f t="shared" si="1"/>
        <v>0</v>
      </c>
      <c r="U27" s="48">
        <f>O27+T27</f>
        <v>0</v>
      </c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>
      <c r="A28" s="50">
        <v>6</v>
      </c>
      <c r="B28" s="42" t="s">
        <v>15</v>
      </c>
      <c r="C28" s="51" t="s">
        <v>67</v>
      </c>
      <c r="D28" s="51" t="s">
        <v>34</v>
      </c>
      <c r="E28" s="44">
        <v>65000</v>
      </c>
      <c r="F28" s="45" t="s">
        <v>42</v>
      </c>
      <c r="G28" s="45"/>
      <c r="H28" s="46" t="s">
        <v>28</v>
      </c>
      <c r="I28" s="135">
        <v>6500000</v>
      </c>
      <c r="J28" s="134">
        <f>-(K28+L28)</f>
        <v>-6500000</v>
      </c>
      <c r="K28" s="134">
        <v>4550000</v>
      </c>
      <c r="L28" s="134">
        <v>1950000</v>
      </c>
      <c r="M28" s="135"/>
      <c r="N28" s="52">
        <f t="shared" si="2"/>
        <v>0</v>
      </c>
      <c r="O28" s="52">
        <f t="shared" si="0"/>
        <v>0</v>
      </c>
      <c r="P28" s="136"/>
      <c r="Q28" s="136">
        <v>14765.15</v>
      </c>
      <c r="R28" s="5">
        <f>14259.58+6840.67</f>
        <v>21100.25</v>
      </c>
      <c r="S28" s="137">
        <f>14765.15+14259.58+6840.67</f>
        <v>35865.4</v>
      </c>
      <c r="T28" s="32">
        <f t="shared" si="1"/>
        <v>0</v>
      </c>
      <c r="U28" s="48">
        <f t="shared" si="3"/>
        <v>0</v>
      </c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>
      <c r="A29" s="50">
        <v>7</v>
      </c>
      <c r="B29" s="42" t="s">
        <v>15</v>
      </c>
      <c r="C29" s="51" t="s">
        <v>68</v>
      </c>
      <c r="D29" s="51" t="s">
        <v>34</v>
      </c>
      <c r="E29" s="44">
        <v>12400000</v>
      </c>
      <c r="F29" s="45" t="s">
        <v>54</v>
      </c>
      <c r="G29" s="45"/>
      <c r="H29" s="46" t="s">
        <v>28</v>
      </c>
      <c r="I29" s="135">
        <v>12400000</v>
      </c>
      <c r="J29" s="134">
        <f>-(K29+L29)</f>
        <v>-11367000</v>
      </c>
      <c r="K29" s="134">
        <v>7956900</v>
      </c>
      <c r="L29" s="134">
        <v>3410100</v>
      </c>
      <c r="M29" s="135">
        <v>1033000</v>
      </c>
      <c r="N29" s="52">
        <f t="shared" si="2"/>
        <v>0</v>
      </c>
      <c r="O29" s="149">
        <f t="shared" si="0"/>
        <v>0</v>
      </c>
      <c r="P29" s="136"/>
      <c r="Q29" s="136">
        <v>28167.36</v>
      </c>
      <c r="R29" s="150">
        <f>26544.96+11962.76</f>
        <v>38507.72</v>
      </c>
      <c r="S29" s="137">
        <f>28167.36+26544.96+11962.76</f>
        <v>66675.08</v>
      </c>
      <c r="T29" s="32">
        <f t="shared" si="1"/>
        <v>0</v>
      </c>
      <c r="U29" s="48">
        <f t="shared" si="3"/>
        <v>0</v>
      </c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11960000</v>
      </c>
      <c r="J30" s="134">
        <f>-(K30+L30)</f>
        <v>-5940000</v>
      </c>
      <c r="K30" s="134">
        <v>4158000</v>
      </c>
      <c r="L30" s="134">
        <v>1782000</v>
      </c>
      <c r="M30" s="135">
        <v>540000</v>
      </c>
      <c r="N30" s="52">
        <f t="shared" si="2"/>
        <v>5480000</v>
      </c>
      <c r="O30" s="149">
        <f t="shared" si="0"/>
        <v>5480000</v>
      </c>
      <c r="P30" s="136"/>
      <c r="Q30" s="136">
        <v>27167.88</v>
      </c>
      <c r="R30" s="150">
        <f>25893.69+16897.99+11560.85+10886.43+11249.31+10886.43+10786.84+11249.31+11060.89+11635.62+11260.27+11822.54</f>
        <v>155190.17</v>
      </c>
      <c r="S30" s="137">
        <f>27167.88+25893.69+16897.99+11560.85+10886.43+11249.31+10886.43+10786.84+11249.31+11060.89+11635.62+11260.27+11822.54</f>
        <v>182358.05</v>
      </c>
      <c r="T30" s="32">
        <f t="shared" si="1"/>
        <v>0</v>
      </c>
      <c r="U30" s="48">
        <f t="shared" si="3"/>
        <v>5480000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12000000</v>
      </c>
      <c r="J31" s="134">
        <f>-(K31+L31)</f>
        <v>-5500000</v>
      </c>
      <c r="K31" s="134">
        <v>3850000</v>
      </c>
      <c r="L31" s="134">
        <v>1650000</v>
      </c>
      <c r="M31" s="135">
        <v>500000</v>
      </c>
      <c r="N31" s="52">
        <f t="shared" si="2"/>
        <v>6000000</v>
      </c>
      <c r="O31" s="149">
        <f t="shared" si="0"/>
        <v>6000000</v>
      </c>
      <c r="P31" s="136"/>
      <c r="Q31" s="136">
        <v>27258.74</v>
      </c>
      <c r="R31" s="150">
        <f>26006.92+17445.19+12657.86+11919.45+12316.77+11919.45+12316.77+12316.77+12110.46+12739.73+12328.77+12944.38</f>
        <v>167022.52000000002</v>
      </c>
      <c r="S31" s="137">
        <f>27258.74+26006.92+17445.19+12657.86+11919.45+12316.77+11919.45+12316.77+12316.77+12110.46+12739.73+12328.77+12944.38</f>
        <v>194281.25999999998</v>
      </c>
      <c r="T31" s="32">
        <f t="shared" si="1"/>
        <v>0</v>
      </c>
      <c r="U31" s="48">
        <f>O31+T31</f>
        <v>6000000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>
        <v>-515.1</v>
      </c>
      <c r="R32" s="150">
        <f>9236.09+515.1+9912.81</f>
        <v>19664</v>
      </c>
      <c r="S32" s="137">
        <f>9236.09+9912.81</f>
        <v>19148.9</v>
      </c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20000000</v>
      </c>
      <c r="J33" s="134">
        <f>-(K33+L33)</f>
        <v>-7854000</v>
      </c>
      <c r="K33" s="134">
        <v>5497800</v>
      </c>
      <c r="L33" s="134">
        <v>2356200</v>
      </c>
      <c r="M33" s="135"/>
      <c r="N33" s="52">
        <f t="shared" si="2"/>
        <v>12146000</v>
      </c>
      <c r="O33" s="149">
        <f t="shared" si="0"/>
        <v>12146000</v>
      </c>
      <c r="P33" s="136"/>
      <c r="Q33" s="136">
        <v>-1281.08</v>
      </c>
      <c r="R33" s="150">
        <f>173272.55+1281.08+151332.83</f>
        <v>325886.45999999996</v>
      </c>
      <c r="S33" s="137">
        <f>173272.55+151332.83</f>
        <v>324605.38</v>
      </c>
      <c r="T33" s="32">
        <f t="shared" si="1"/>
        <v>0</v>
      </c>
      <c r="U33" s="48">
        <f t="shared" si="3"/>
        <v>12146000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1400000</v>
      </c>
      <c r="J34" s="134">
        <f>-(K34+L34)</f>
        <v>-506000</v>
      </c>
      <c r="K34" s="134">
        <v>354200</v>
      </c>
      <c r="L34" s="134">
        <v>151800</v>
      </c>
      <c r="M34" s="135"/>
      <c r="N34" s="52">
        <f t="shared" si="2"/>
        <v>894000</v>
      </c>
      <c r="O34" s="149">
        <f t="shared" si="0"/>
        <v>894000</v>
      </c>
      <c r="P34" s="136"/>
      <c r="Q34" s="136">
        <v>-89.68</v>
      </c>
      <c r="R34" s="150">
        <f>12524.23+89.68+11138.78</f>
        <v>23752.690000000002</v>
      </c>
      <c r="S34" s="137">
        <f>12524.23+11138.78</f>
        <v>23663.010000000002</v>
      </c>
      <c r="T34" s="32">
        <f t="shared" si="1"/>
        <v>0</v>
      </c>
      <c r="U34" s="48">
        <f>O34+T34</f>
        <v>894000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10000000</v>
      </c>
      <c r="J35" s="134">
        <f>-(K35+L35)</f>
        <v>-3080000</v>
      </c>
      <c r="K35" s="134">
        <v>2156000</v>
      </c>
      <c r="L35" s="134">
        <v>924000</v>
      </c>
      <c r="M35" s="135"/>
      <c r="N35" s="52">
        <f t="shared" si="2"/>
        <v>6920000</v>
      </c>
      <c r="O35" s="149">
        <f t="shared" si="0"/>
        <v>6920000</v>
      </c>
      <c r="P35" s="155" t="s">
        <v>61</v>
      </c>
      <c r="Q35" s="136">
        <v>4246.03</v>
      </c>
      <c r="R35" s="150">
        <f>94921.84+86219.6</f>
        <v>181141.44</v>
      </c>
      <c r="S35" s="137">
        <f>4246.03+94921.84+86219.6</f>
        <v>185387.47</v>
      </c>
      <c r="T35" s="32">
        <f t="shared" si="1"/>
        <v>0</v>
      </c>
      <c r="U35" s="48">
        <f t="shared" si="3"/>
        <v>6920000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>
      <c r="A36" s="50">
        <v>14</v>
      </c>
      <c r="B36" s="42" t="s">
        <v>15</v>
      </c>
      <c r="C36" s="51" t="s">
        <v>72</v>
      </c>
      <c r="D36" s="51" t="s">
        <v>34</v>
      </c>
      <c r="E36" s="44">
        <v>0</v>
      </c>
      <c r="F36" s="45" t="s">
        <v>73</v>
      </c>
      <c r="G36" s="45"/>
      <c r="H36" s="46" t="s">
        <v>28</v>
      </c>
      <c r="I36" s="135"/>
      <c r="J36" s="134">
        <v>48747000</v>
      </c>
      <c r="K36" s="134"/>
      <c r="L36" s="134"/>
      <c r="M36" s="135">
        <f>1625000+1625000+1625000+600000+700000+325000+1625000+1625000+1625000+1625000+1624100+34122900</f>
        <v>48747000</v>
      </c>
      <c r="N36" s="52">
        <f>I36+J36-M36</f>
        <v>0</v>
      </c>
      <c r="O36" s="149">
        <f>N36</f>
        <v>0</v>
      </c>
      <c r="P36" s="155"/>
      <c r="Q36" s="136"/>
      <c r="R36" s="150">
        <f>30981.79</f>
        <v>30981.79</v>
      </c>
      <c r="S36" s="137">
        <f>30981.79</f>
        <v>30981.79</v>
      </c>
      <c r="T36" s="32">
        <f>Q36+R36-S36</f>
        <v>0</v>
      </c>
      <c r="U36" s="48">
        <f>O36+T36</f>
        <v>0</v>
      </c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/>
      <c r="J37" s="134">
        <v>2500000</v>
      </c>
      <c r="K37" s="134"/>
      <c r="L37" s="134"/>
      <c r="M37" s="135">
        <v>0</v>
      </c>
      <c r="N37" s="52">
        <f t="shared" si="2"/>
        <v>2500000</v>
      </c>
      <c r="O37" s="149">
        <f t="shared" si="0"/>
        <v>2500000</v>
      </c>
      <c r="P37" s="155"/>
      <c r="Q37" s="136"/>
      <c r="R37" s="150">
        <v>18235.96</v>
      </c>
      <c r="S37" s="137">
        <v>18235.96</v>
      </c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103924000</v>
      </c>
      <c r="J38" s="133">
        <f>SUM(J23:J37)</f>
        <v>2500000</v>
      </c>
      <c r="K38" s="133">
        <f aca="true" t="shared" si="4" ref="K38:Q38">SUM(K23:K37)</f>
        <v>34122900</v>
      </c>
      <c r="L38" s="133">
        <f t="shared" si="4"/>
        <v>14624100</v>
      </c>
      <c r="M38" s="133">
        <f t="shared" si="4"/>
        <v>52820000</v>
      </c>
      <c r="N38" s="133">
        <f t="shared" si="4"/>
        <v>53604000</v>
      </c>
      <c r="O38" s="133">
        <f t="shared" si="4"/>
        <v>53604000</v>
      </c>
      <c r="P38" s="133">
        <f>SUM(P23:P37)</f>
        <v>0</v>
      </c>
      <c r="Q38" s="133">
        <f t="shared" si="4"/>
        <v>121972.45</v>
      </c>
      <c r="R38" s="133">
        <f>SUM(R23:R37)</f>
        <v>1011028.76</v>
      </c>
      <c r="S38" s="133">
        <f>SUM(S23:S37)</f>
        <v>1133001.21</v>
      </c>
      <c r="T38" s="133">
        <f>SUM(T23:T37)</f>
        <v>0</v>
      </c>
      <c r="U38" s="133">
        <f>SUM(U23:U37)</f>
        <v>53604000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>
        <v>0.09</v>
      </c>
      <c r="R40" s="3">
        <f>80050.59-0.09+72303.77+80050.59+77468.32+80050.59+77468.32+80050.6+80050.59+77468.32+80050.59+77468.32+80050.59</f>
        <v>942531.1</v>
      </c>
      <c r="S40" s="3">
        <f>80050.59+72303.77+80050.59+77468.32+80050.59+77468.32+80050.6+80050.59+77468.32+80050.59+77468.32+80050.59</f>
        <v>942531.1899999998</v>
      </c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0</v>
      </c>
      <c r="J41" s="152">
        <v>16000000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f>115213.81+132282.52+128015.34+132282.52</f>
        <v>507794.18999999994</v>
      </c>
      <c r="S41" s="3">
        <f>115213.81+132282.52+128015.34+132282.52</f>
        <v>507794.18999999994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10000000</v>
      </c>
      <c r="J42" s="5">
        <f aca="true" t="shared" si="5" ref="J42:AY42">J40+J41</f>
        <v>16000000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0.09</v>
      </c>
      <c r="R42" s="5">
        <f t="shared" si="5"/>
        <v>1450325.29</v>
      </c>
      <c r="S42" s="5">
        <f t="shared" si="5"/>
        <v>1450325.38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113924000</v>
      </c>
      <c r="J46" s="23">
        <f t="shared" si="6"/>
        <v>18500000</v>
      </c>
      <c r="K46" s="23">
        <f t="shared" si="6"/>
        <v>34122900</v>
      </c>
      <c r="L46" s="23">
        <f t="shared" si="6"/>
        <v>14624100</v>
      </c>
      <c r="M46" s="23">
        <f t="shared" si="6"/>
        <v>52820000</v>
      </c>
      <c r="N46" s="23">
        <f t="shared" si="6"/>
        <v>79604000</v>
      </c>
      <c r="O46" s="23">
        <f t="shared" si="6"/>
        <v>79604000</v>
      </c>
      <c r="P46" s="23">
        <f t="shared" si="6"/>
        <v>0</v>
      </c>
      <c r="Q46" s="23">
        <f t="shared" si="6"/>
        <v>121972.54</v>
      </c>
      <c r="R46" s="23">
        <f t="shared" si="6"/>
        <v>2461354.05</v>
      </c>
      <c r="S46" s="23">
        <f t="shared" si="6"/>
        <v>2583326.59</v>
      </c>
      <c r="T46" s="23">
        <f t="shared" si="6"/>
        <v>0</v>
      </c>
      <c r="U46" s="23">
        <f t="shared" si="6"/>
        <v>79604000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7.2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7.2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7.2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7"/>
  <sheetViews>
    <sheetView zoomScalePageLayoutView="0" workbookViewId="0" topLeftCell="G37">
      <selection activeCell="R42" sqref="R42"/>
    </sheetView>
  </sheetViews>
  <sheetFormatPr defaultColWidth="9.125" defaultRowHeight="12.75"/>
  <cols>
    <col min="1" max="1" width="3.625" style="8" customWidth="1"/>
    <col min="2" max="2" width="7.50390625" style="8" customWidth="1"/>
    <col min="3" max="3" width="15.5039062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375" style="8" customWidth="1"/>
    <col min="9" max="9" width="16.50390625" style="8" customWidth="1"/>
    <col min="10" max="10" width="15.625" style="8" customWidth="1"/>
    <col min="11" max="12" width="13.125" style="8" hidden="1" customWidth="1"/>
    <col min="13" max="13" width="14.50390625" style="8" customWidth="1"/>
    <col min="14" max="14" width="17.50390625" style="8" customWidth="1"/>
    <col min="15" max="15" width="18.00390625" style="8" customWidth="1"/>
    <col min="16" max="16" width="6.50390625" style="8" customWidth="1"/>
    <col min="17" max="17" width="14.00390625" style="8" customWidth="1"/>
    <col min="18" max="18" width="13.50390625" style="8" customWidth="1"/>
    <col min="19" max="20" width="14.125" style="8" customWidth="1"/>
    <col min="21" max="21" width="17.00390625" style="8" customWidth="1"/>
    <col min="22" max="22" width="2.50390625" style="8" hidden="1" customWidth="1"/>
    <col min="23" max="23" width="15.125" style="8" hidden="1" customWidth="1"/>
    <col min="24" max="24" width="12.875" style="8" hidden="1" customWidth="1"/>
    <col min="25" max="25" width="11.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117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118</v>
      </c>
      <c r="K8" s="11" t="s">
        <v>70</v>
      </c>
      <c r="L8" s="11" t="s">
        <v>71</v>
      </c>
      <c r="M8" s="11" t="s">
        <v>119</v>
      </c>
      <c r="N8" s="11" t="s">
        <v>120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8">N23</f>
        <v>0</v>
      </c>
      <c r="P23" s="7"/>
      <c r="Q23" s="7"/>
      <c r="R23" s="5"/>
      <c r="S23" s="7"/>
      <c r="T23" s="6">
        <f aca="true" t="shared" si="1" ref="T23:T38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1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>
        <v>-1560000</v>
      </c>
      <c r="K30" s="134">
        <v>4158000</v>
      </c>
      <c r="L30" s="134">
        <v>1782000</v>
      </c>
      <c r="M30" s="135">
        <f>785000+785000+785000+785000+780000</f>
        <v>3920000</v>
      </c>
      <c r="N30" s="52">
        <f aca="true" t="shared" si="2" ref="N30:N38">I30+J30-M30</f>
        <v>0</v>
      </c>
      <c r="O30" s="149">
        <f t="shared" si="0"/>
        <v>0</v>
      </c>
      <c r="P30" s="136"/>
      <c r="Q30" s="136"/>
      <c r="R30" s="150">
        <f>11244.19+8136.45+7466.64+5356.72+4250.3+1103.98</f>
        <v>37558.280000000006</v>
      </c>
      <c r="S30" s="150">
        <f>11244.19+8136.45+7466.64+5356.72+4250.3+1103.98</f>
        <v>37558.280000000006</v>
      </c>
      <c r="T30" s="32">
        <f t="shared" si="1"/>
        <v>0</v>
      </c>
      <c r="U30" s="48">
        <f aca="true" t="shared" si="3" ref="U30:U38">O30+T30</f>
        <v>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2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>
        <v>-3500000</v>
      </c>
      <c r="K31" s="134"/>
      <c r="L31" s="134"/>
      <c r="M31" s="135">
        <f>500000+500000+500000+500000+500000</f>
        <v>2500000</v>
      </c>
      <c r="N31" s="52">
        <f t="shared" si="2"/>
        <v>0</v>
      </c>
      <c r="O31" s="149">
        <f t="shared" si="0"/>
        <v>0</v>
      </c>
      <c r="P31" s="136"/>
      <c r="Q31" s="136"/>
      <c r="R31" s="150">
        <f>12667.32+10155.08+10261.23+8739.74+8208.96+2476.84</f>
        <v>52509.17</v>
      </c>
      <c r="S31" s="150">
        <f>12667.32+10155.08+10261.23+8739.74+8208.96+2476.84</f>
        <v>52509.17</v>
      </c>
      <c r="T31" s="32">
        <f t="shared" si="1"/>
        <v>0</v>
      </c>
      <c r="U31" s="48">
        <f>O31+T31</f>
        <v>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3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>
        <v>9751.16</v>
      </c>
      <c r="S32" s="137">
        <v>9751.16</v>
      </c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4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>
        <v>-4998000</v>
      </c>
      <c r="K33" s="134">
        <v>5497800</v>
      </c>
      <c r="L33" s="134">
        <v>2356200</v>
      </c>
      <c r="M33" s="135">
        <f>714000+714000+714000+714000+714000</f>
        <v>3570000</v>
      </c>
      <c r="N33" s="52">
        <f t="shared" si="2"/>
        <v>3578000</v>
      </c>
      <c r="O33" s="149">
        <f t="shared" si="0"/>
        <v>3578000</v>
      </c>
      <c r="P33" s="136"/>
      <c r="Q33" s="136"/>
      <c r="R33" s="150">
        <v>120699.3</v>
      </c>
      <c r="S33" s="137">
        <v>120699.3</v>
      </c>
      <c r="T33" s="32">
        <f t="shared" si="1"/>
        <v>0</v>
      </c>
      <c r="U33" s="48">
        <f t="shared" si="3"/>
        <v>3578000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5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>
        <v>-322000</v>
      </c>
      <c r="K34" s="134">
        <v>354200</v>
      </c>
      <c r="L34" s="134">
        <v>151800</v>
      </c>
      <c r="M34" s="135">
        <f>46000+46000+46000+46000+46000</f>
        <v>230000</v>
      </c>
      <c r="N34" s="52">
        <f t="shared" si="2"/>
        <v>342000</v>
      </c>
      <c r="O34" s="149">
        <f t="shared" si="0"/>
        <v>342000</v>
      </c>
      <c r="P34" s="136"/>
      <c r="Q34" s="136"/>
      <c r="R34" s="150">
        <v>9216.85</v>
      </c>
      <c r="S34" s="137">
        <v>9216.85</v>
      </c>
      <c r="T34" s="32">
        <f t="shared" si="1"/>
        <v>0</v>
      </c>
      <c r="U34" s="48">
        <f>O34+T34</f>
        <v>342000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6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>
        <v>-1960000</v>
      </c>
      <c r="K35" s="134">
        <v>2156000</v>
      </c>
      <c r="L35" s="134">
        <v>924000</v>
      </c>
      <c r="M35" s="135">
        <f>280000+280000+280000+280000+280000</f>
        <v>1400000</v>
      </c>
      <c r="N35" s="52">
        <f t="shared" si="2"/>
        <v>3560000</v>
      </c>
      <c r="O35" s="149">
        <f t="shared" si="0"/>
        <v>3560000</v>
      </c>
      <c r="P35" s="155" t="s">
        <v>61</v>
      </c>
      <c r="Q35" s="136"/>
      <c r="R35" s="150">
        <v>74990.43</v>
      </c>
      <c r="S35" s="137">
        <v>74990.43</v>
      </c>
      <c r="T35" s="32">
        <f t="shared" si="1"/>
        <v>0</v>
      </c>
      <c r="U35" s="48">
        <f t="shared" si="3"/>
        <v>3560000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7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>
        <v>31942.52</v>
      </c>
      <c r="S37" s="137">
        <v>31942.52</v>
      </c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66.75" customHeight="1">
      <c r="A38" s="50">
        <v>8</v>
      </c>
      <c r="B38" s="42" t="s">
        <v>15</v>
      </c>
      <c r="C38" s="51" t="s">
        <v>103</v>
      </c>
      <c r="D38" s="51" t="s">
        <v>34</v>
      </c>
      <c r="E38" s="44">
        <v>0</v>
      </c>
      <c r="F38" s="45" t="s">
        <v>104</v>
      </c>
      <c r="G38" s="45"/>
      <c r="H38" s="46" t="s">
        <v>28</v>
      </c>
      <c r="I38" s="135">
        <v>0</v>
      </c>
      <c r="J38" s="134">
        <v>12340000</v>
      </c>
      <c r="K38" s="134"/>
      <c r="L38" s="134"/>
      <c r="M38" s="135">
        <v>0</v>
      </c>
      <c r="N38" s="149">
        <f t="shared" si="2"/>
        <v>12340000</v>
      </c>
      <c r="O38" s="149">
        <f t="shared" si="0"/>
        <v>12340000</v>
      </c>
      <c r="P38" s="155"/>
      <c r="Q38" s="136"/>
      <c r="R38" s="150">
        <v>676.16</v>
      </c>
      <c r="S38" s="137">
        <v>676.16</v>
      </c>
      <c r="T38" s="32">
        <f t="shared" si="1"/>
        <v>0</v>
      </c>
      <c r="U38" s="48">
        <f t="shared" si="3"/>
        <v>12340000</v>
      </c>
      <c r="V38" s="49"/>
      <c r="W38" s="49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51" ht="15.75" customHeight="1" thickBot="1">
      <c r="A39" s="94" t="s">
        <v>21</v>
      </c>
      <c r="B39" s="18"/>
      <c r="C39" s="18"/>
      <c r="D39" s="95"/>
      <c r="E39" s="96"/>
      <c r="F39" s="97"/>
      <c r="G39" s="97"/>
      <c r="H39" s="97"/>
      <c r="I39" s="133">
        <f>SUM(I23:I38)</f>
        <v>53604000</v>
      </c>
      <c r="J39" s="133">
        <f>SUM(J23:J38)</f>
        <v>0</v>
      </c>
      <c r="K39" s="133">
        <f>SUM(K23:K37)</f>
        <v>12166000</v>
      </c>
      <c r="L39" s="133">
        <f>SUM(L23:L37)</f>
        <v>5214000</v>
      </c>
      <c r="M39" s="133">
        <f>SUM(M23:M38)</f>
        <v>11620000</v>
      </c>
      <c r="N39" s="133">
        <f>SUM(N23:N38)</f>
        <v>41984000</v>
      </c>
      <c r="O39" s="133">
        <f>SUM(O23:O38)</f>
        <v>41984000</v>
      </c>
      <c r="P39" s="133">
        <f aca="true" t="shared" si="4" ref="P39:U39">SUM(P23:P38)</f>
        <v>0</v>
      </c>
      <c r="Q39" s="133">
        <f t="shared" si="4"/>
        <v>0</v>
      </c>
      <c r="R39" s="133">
        <f t="shared" si="4"/>
        <v>337343.87000000005</v>
      </c>
      <c r="S39" s="133">
        <f t="shared" si="4"/>
        <v>337343.87000000005</v>
      </c>
      <c r="T39" s="133">
        <f t="shared" si="4"/>
        <v>0</v>
      </c>
      <c r="U39" s="133">
        <f t="shared" si="4"/>
        <v>41984000</v>
      </c>
      <c r="V39" s="133" t="e">
        <f>#REF!+#REF!+#REF!+#REF!+V23+V24+#REF!+#REF!+#REF!+#REF!+V27+#REF!+V28+V29+V30+V31+V25+V26+V32+V33+V34+V35</f>
        <v>#REF!</v>
      </c>
      <c r="W39" s="133" t="e">
        <f>#REF!+#REF!+#REF!+#REF!+W23+W24+#REF!+#REF!+#REF!+#REF!+W27+#REF!+W28+W29+W30+W31+W25+W26+W32+W33+W34+W35</f>
        <v>#REF!</v>
      </c>
      <c r="X39" s="133" t="e">
        <f>#REF!+#REF!+#REF!+#REF!+X23+X24+#REF!+#REF!+#REF!+#REF!+X27+#REF!+X28+X29+X30+X31+X25+X26+X32+X33+X34+X35</f>
        <v>#REF!</v>
      </c>
      <c r="Y39" s="133" t="e">
        <f>#REF!+#REF!+#REF!+#REF!+Y23+Y24+#REF!+#REF!+#REF!+#REF!+Y27+#REF!+Y28+Y29+Y30+Y31+Y25+Y26+Y32+Y33+Y34+Y35</f>
        <v>#REF!</v>
      </c>
      <c r="Z39" s="133" t="e">
        <f>#REF!+#REF!+#REF!+#REF!+Z23+Z24+#REF!+#REF!+#REF!+#REF!+Z27+#REF!+Z28+Z29+Z30+Z31+Z25+Z26+Z32+Z33+Z34+Z35</f>
        <v>#REF!</v>
      </c>
      <c r="AA39" s="133" t="e">
        <f>#REF!+#REF!+#REF!+#REF!+AA23+AA24+#REF!+#REF!+#REF!+#REF!+AA27+#REF!+AA28+AA29+AA30+AA31+AA25+AA26+AA32+AA33+AA34+AA35</f>
        <v>#REF!</v>
      </c>
      <c r="AB39" s="133" t="e">
        <f>#REF!+#REF!+#REF!+#REF!+AB23+AB24+#REF!+#REF!+#REF!+#REF!+AB27+#REF!+AB28+AB29+AB30+AB31+AB25+AB26+AB32+AB33+AB34+AB35</f>
        <v>#REF!</v>
      </c>
      <c r="AC39" s="133" t="e">
        <f>#REF!+#REF!+#REF!+#REF!+AC23+AC24+#REF!+#REF!+#REF!+#REF!+AC27+#REF!+AC28+AC29+AC30+AC31+AC25+AC26+AC32+AC33+AC34+AC35</f>
        <v>#REF!</v>
      </c>
      <c r="AD39" s="133" t="e">
        <f>#REF!+#REF!+#REF!+#REF!+AD23+AD24+#REF!+#REF!+#REF!+#REF!+AD27+#REF!+AD28+AD29+AD30+AD31+AD25+AD26+AD32+AD33+AD34+AD35</f>
        <v>#REF!</v>
      </c>
      <c r="AE39" s="133" t="e">
        <f>#REF!+#REF!+#REF!+#REF!+AE23+AE24+#REF!+#REF!+#REF!+#REF!+AE27+#REF!+AE28+AE29+AE30+AE31+AE25+AE26+AE32+AE33+AE34+AE35</f>
        <v>#REF!</v>
      </c>
      <c r="AF39" s="133" t="e">
        <f>#REF!+#REF!+#REF!+#REF!+AF23+AF24+#REF!+#REF!+#REF!+#REF!+AF27+#REF!+AF28+AF29+AF30+AF31+AF25+AF26+AF32+AF33+AF34+AF35</f>
        <v>#REF!</v>
      </c>
      <c r="AG39" s="133" t="e">
        <f>#REF!+#REF!+#REF!+#REF!+AG23+AG24+#REF!+#REF!+#REF!+#REF!+AG27+#REF!+AG28+AG29+AG30+AG31+AG25+AG26+AG32+AG33+AG34+AG35</f>
        <v>#REF!</v>
      </c>
      <c r="AH39" s="133" t="e">
        <f>#REF!+#REF!+#REF!+#REF!+AH23+AH24+#REF!+#REF!+#REF!+#REF!+AH27+#REF!+AH28+AH29+AH30+AH31+AH25+AH26+AH32+AH33+AH34+AH35</f>
        <v>#REF!</v>
      </c>
      <c r="AI39" s="133" t="e">
        <f>#REF!+#REF!+#REF!+#REF!+AI23+AI24+#REF!+#REF!+#REF!+#REF!+AI27+#REF!+AI28+AI29+AI30+AI31+AI25+AI26+AI32+AI33+AI34+AI35</f>
        <v>#REF!</v>
      </c>
      <c r="AJ39" s="133" t="e">
        <f>#REF!+#REF!+#REF!+#REF!+AJ23+AJ24+#REF!+#REF!+#REF!+#REF!+AJ27+#REF!+AJ28+AJ29+AJ30+AJ31+AJ25+AJ26+AJ32+AJ33+AJ34+AJ35</f>
        <v>#REF!</v>
      </c>
      <c r="AK39" s="133" t="e">
        <f>#REF!+#REF!+#REF!+#REF!+AK23+AK24+#REF!+#REF!+#REF!+#REF!+AK27+#REF!+AK28+AK29+AK30+AK31+AK25+AK26+AK32+AK33+AK34+AK35</f>
        <v>#REF!</v>
      </c>
      <c r="AL39" s="133" t="e">
        <f>#REF!+#REF!+#REF!+#REF!+AL23+AL24+#REF!+#REF!+#REF!+#REF!+AL27+#REF!+AL28+AL29+AL30+AL31+AL25+AL26+AL32+AL33+AL34+AL35</f>
        <v>#REF!</v>
      </c>
      <c r="AM39" s="133" t="e">
        <f>#REF!+#REF!+#REF!+#REF!+AM23+AM24+#REF!+#REF!+#REF!+#REF!+AM27+#REF!+AM28+AM29+AM30+AM31+AM25+AM26+AM32+AM33+AM34+AM35</f>
        <v>#REF!</v>
      </c>
      <c r="AN39" s="133" t="e">
        <f>#REF!+#REF!+#REF!+#REF!+AN23+AN24+#REF!+#REF!+#REF!+#REF!+AN27+#REF!+AN28+AN29+AN30+AN31+AN25+AN26+AN32+AN33+AN34+AN35</f>
        <v>#REF!</v>
      </c>
      <c r="AO39" s="133" t="e">
        <f>#REF!+#REF!+#REF!+#REF!+AO23+AO24+#REF!+#REF!+#REF!+#REF!+AO27+#REF!+AO28+AO29+AO30+AO31+AO25+AO26+AO32+AO33+AO34+AO35</f>
        <v>#REF!</v>
      </c>
      <c r="AP39" s="133" t="e">
        <f>#REF!+#REF!+#REF!+#REF!+AP23+AP24+#REF!+#REF!+#REF!+#REF!+AP27+#REF!+AP28+AP29+AP30+AP31+AP25+AP26+AP32+AP33+AP34+AP35</f>
        <v>#REF!</v>
      </c>
      <c r="AQ39" s="133" t="e">
        <f>#REF!+#REF!+#REF!+#REF!+AQ23+AQ24+#REF!+#REF!+#REF!+#REF!+AQ27+#REF!+AQ28+AQ29+AQ30+AQ31+AQ25+AQ26+AQ32+AQ33+AQ34+AQ35</f>
        <v>#REF!</v>
      </c>
      <c r="AR39" s="133" t="e">
        <f>#REF!+#REF!+#REF!+#REF!+AR23+AR24+#REF!+#REF!+#REF!+#REF!+AR27+#REF!+AR28+AR29+AR30+AR31+AR25+AR26+AR32+AR33+AR34+AR35</f>
        <v>#REF!</v>
      </c>
      <c r="AS39" s="133" t="e">
        <f>#REF!+#REF!+#REF!+#REF!+AS23+AS24+#REF!+#REF!+#REF!+#REF!+AS27+#REF!+AS28+AS29+AS30+AS31+AS25+AS26+AS32+AS33+AS34+AS35</f>
        <v>#REF!</v>
      </c>
      <c r="AT39" s="133" t="e">
        <f>#REF!+#REF!+#REF!+#REF!+AT23+AT24+#REF!+#REF!+#REF!+#REF!+AT27+#REF!+AT28+AT29+AT30+AT31+AT25+AT26+AT32+AT33+AT34+AT35</f>
        <v>#REF!</v>
      </c>
      <c r="AU39" s="133" t="e">
        <f>#REF!+#REF!+#REF!+#REF!+AU23+AU24+#REF!+#REF!+#REF!+#REF!+AU27+#REF!+AU28+AU29+AU30+AU31+AU25+AU26+AU32+AU33+AU34+AU35</f>
        <v>#REF!</v>
      </c>
      <c r="AV39" s="133" t="e">
        <f>#REF!+#REF!+#REF!+#REF!+AV23+AV24+#REF!+#REF!+#REF!+#REF!+AV27+#REF!+AV28+AV29+AV30+AV31+AV25+AV26+AV32+AV33+AV34+AV35</f>
        <v>#REF!</v>
      </c>
      <c r="AW39" s="133" t="e">
        <f>#REF!+#REF!+#REF!+#REF!+AW23+AW24+#REF!+#REF!+#REF!+#REF!+AW27+#REF!+AW28+AW29+AW30+AW31+AW25+AW26+AW32+AW33+AW34+AW35</f>
        <v>#REF!</v>
      </c>
      <c r="AX39" s="133" t="e">
        <f>#REF!+#REF!+#REF!+#REF!+AX23+AX24+#REF!+#REF!+#REF!+#REF!+AX27+#REF!+AX28+AX29+AX30+AX31+AX25+AX26+AX32+AX33+AX34+AX35</f>
        <v>#REF!</v>
      </c>
      <c r="AY39" s="133" t="e">
        <f>#REF!+#REF!+#REF!+#REF!+AY23+AY24+#REF!+#REF!+#REF!+#REF!+AY27+#REF!+AY28+AY29+AY30+AY31+AY25+AY26+AY32+AY33+AY34+AY35</f>
        <v>#REF!</v>
      </c>
    </row>
    <row r="40" spans="1:22" ht="16.5" customHeight="1" thickBot="1">
      <c r="A40" s="138" t="s">
        <v>19</v>
      </c>
      <c r="B40" s="139" t="s">
        <v>23</v>
      </c>
      <c r="C40" s="139"/>
      <c r="D40" s="139"/>
      <c r="E40" s="139"/>
      <c r="F40" s="139"/>
      <c r="G40" s="139"/>
      <c r="H40" s="20"/>
      <c r="I40" s="10"/>
      <c r="J40" s="10"/>
      <c r="K40" s="10"/>
      <c r="L40" s="10"/>
      <c r="M40" s="10"/>
      <c r="N40" s="10"/>
      <c r="O40" s="98"/>
      <c r="P40" s="10"/>
      <c r="Q40" s="10"/>
      <c r="R40" s="10"/>
      <c r="S40" s="142"/>
      <c r="T40" s="10"/>
      <c r="U40" s="143"/>
      <c r="V40" s="25"/>
    </row>
    <row r="41" spans="1:22" ht="69" customHeight="1">
      <c r="A41" s="148">
        <v>1</v>
      </c>
      <c r="B41" s="42" t="s">
        <v>23</v>
      </c>
      <c r="C41" s="141" t="s">
        <v>63</v>
      </c>
      <c r="D41" s="131" t="s">
        <v>64</v>
      </c>
      <c r="E41" s="17">
        <v>100000000</v>
      </c>
      <c r="F41" s="151" t="s">
        <v>65</v>
      </c>
      <c r="G41" s="154" t="s">
        <v>62</v>
      </c>
      <c r="H41" s="132" t="s">
        <v>28</v>
      </c>
      <c r="I41" s="152">
        <v>10000000</v>
      </c>
      <c r="J41" s="152">
        <v>0</v>
      </c>
      <c r="K41" s="152"/>
      <c r="L41" s="152"/>
      <c r="M41" s="152">
        <v>0</v>
      </c>
      <c r="N41" s="6">
        <f>I41+J41-M41</f>
        <v>10000000</v>
      </c>
      <c r="O41" s="6">
        <f>N41</f>
        <v>10000000</v>
      </c>
      <c r="P41" s="3"/>
      <c r="Q41" s="3"/>
      <c r="R41" s="3">
        <f>80050.6+72303.77+80050.59+77468.32+80050.59+77468.32+80050.6+80050.59+77468.32</f>
        <v>704961.7</v>
      </c>
      <c r="S41" s="3">
        <f>80050.6+72303.77+80050.59+77468.32+80050.59+77468.32+80050.6+80050.59</f>
        <v>627493.38</v>
      </c>
      <c r="T41" s="6">
        <f>Q41+R41-S41</f>
        <v>77468.31999999995</v>
      </c>
      <c r="U41" s="6">
        <f>N41+Q41+R41-S41</f>
        <v>10077468.319999998</v>
      </c>
      <c r="V41" s="25"/>
    </row>
    <row r="42" spans="1:22" ht="69" customHeight="1">
      <c r="A42" s="148">
        <v>2</v>
      </c>
      <c r="B42" s="131" t="s">
        <v>23</v>
      </c>
      <c r="C42" s="157" t="s">
        <v>74</v>
      </c>
      <c r="D42" s="131" t="s">
        <v>41</v>
      </c>
      <c r="E42" s="17">
        <v>160000000</v>
      </c>
      <c r="F42" s="151" t="s">
        <v>76</v>
      </c>
      <c r="G42" s="154" t="s">
        <v>75</v>
      </c>
      <c r="H42" s="132" t="s">
        <v>28</v>
      </c>
      <c r="I42" s="152">
        <v>16000000</v>
      </c>
      <c r="J42" s="152">
        <v>0</v>
      </c>
      <c r="K42" s="152"/>
      <c r="L42" s="152"/>
      <c r="M42" s="152">
        <v>0</v>
      </c>
      <c r="N42" s="6">
        <f>I42+J42-M42</f>
        <v>16000000</v>
      </c>
      <c r="O42" s="6">
        <f>N42</f>
        <v>16000000</v>
      </c>
      <c r="P42" s="3"/>
      <c r="Q42" s="3"/>
      <c r="R42" s="3">
        <f>132282.52+119480.99+132282.52+128015.34+132282.52+128015.34+132282.52+132282.52+128015.34</f>
        <v>1164939.61</v>
      </c>
      <c r="S42" s="3">
        <f>132282.52+119480.99+132282.52+128015.34+132282.52+128015.34+132282.52+132282.52+128015.34</f>
        <v>1164939.61</v>
      </c>
      <c r="T42" s="6">
        <f>Q42+R42-S42</f>
        <v>0</v>
      </c>
      <c r="U42" s="6">
        <f>N42+Q42+R42-S42</f>
        <v>16000000</v>
      </c>
      <c r="V42" s="25"/>
    </row>
    <row r="43" spans="1:22" ht="69" customHeight="1">
      <c r="A43" s="158">
        <v>3</v>
      </c>
      <c r="B43" s="131" t="s">
        <v>23</v>
      </c>
      <c r="C43" s="157" t="s">
        <v>109</v>
      </c>
      <c r="D43" s="131" t="s">
        <v>110</v>
      </c>
      <c r="E43" s="17">
        <v>15000000</v>
      </c>
      <c r="F43" s="151" t="s">
        <v>111</v>
      </c>
      <c r="G43" s="154" t="s">
        <v>112</v>
      </c>
      <c r="H43" s="132" t="s">
        <v>28</v>
      </c>
      <c r="I43" s="152">
        <v>0</v>
      </c>
      <c r="J43" s="152">
        <v>15000000</v>
      </c>
      <c r="K43" s="152"/>
      <c r="L43" s="152"/>
      <c r="M43" s="152">
        <v>0</v>
      </c>
      <c r="N43" s="6">
        <f>I43+J43-M43</f>
        <v>15000000</v>
      </c>
      <c r="O43" s="6">
        <f>N43</f>
        <v>15000000</v>
      </c>
      <c r="P43" s="3"/>
      <c r="Q43" s="3"/>
      <c r="R43" s="3">
        <f>46109.59+119116.44+115273.97</f>
        <v>280500</v>
      </c>
      <c r="S43" s="3">
        <f>46109.59+119116.44+115273.97</f>
        <v>280500</v>
      </c>
      <c r="T43" s="6">
        <f>Q43+R43-S43</f>
        <v>0</v>
      </c>
      <c r="U43" s="6">
        <f>N43+Q43+R43-S43</f>
        <v>15000000</v>
      </c>
      <c r="V43" s="25"/>
    </row>
    <row r="44" spans="1:51" ht="16.5" customHeight="1" thickBot="1">
      <c r="A44" s="94" t="s">
        <v>21</v>
      </c>
      <c r="B44" s="140"/>
      <c r="C44" s="140"/>
      <c r="D44" s="14"/>
      <c r="E44" s="14"/>
      <c r="F44" s="14"/>
      <c r="G44" s="14"/>
      <c r="H44" s="14"/>
      <c r="I44" s="5">
        <f>I41+I42+I43</f>
        <v>26000000</v>
      </c>
      <c r="J44" s="5">
        <f aca="true" t="shared" si="5" ref="J44:U44">J41+J42+J43</f>
        <v>15000000</v>
      </c>
      <c r="K44" s="5">
        <f t="shared" si="5"/>
        <v>0</v>
      </c>
      <c r="L44" s="5">
        <f t="shared" si="5"/>
        <v>0</v>
      </c>
      <c r="M44" s="5">
        <f t="shared" si="5"/>
        <v>0</v>
      </c>
      <c r="N44" s="5">
        <f t="shared" si="5"/>
        <v>41000000</v>
      </c>
      <c r="O44" s="5">
        <f t="shared" si="5"/>
        <v>41000000</v>
      </c>
      <c r="P44" s="5">
        <f t="shared" si="5"/>
        <v>0</v>
      </c>
      <c r="Q44" s="5">
        <f t="shared" si="5"/>
        <v>0</v>
      </c>
      <c r="R44" s="5">
        <f t="shared" si="5"/>
        <v>2150401.31</v>
      </c>
      <c r="S44" s="5">
        <f t="shared" si="5"/>
        <v>2072932.9900000002</v>
      </c>
      <c r="T44" s="5">
        <f t="shared" si="5"/>
        <v>77468.31999999995</v>
      </c>
      <c r="U44" s="5">
        <f t="shared" si="5"/>
        <v>41077468.32</v>
      </c>
      <c r="V44" s="5">
        <f aca="true" t="shared" si="6" ref="V44:AY44">V41+V42</f>
        <v>0</v>
      </c>
      <c r="W44" s="5">
        <f t="shared" si="6"/>
        <v>0</v>
      </c>
      <c r="X44" s="5">
        <f t="shared" si="6"/>
        <v>0</v>
      </c>
      <c r="Y44" s="5">
        <f t="shared" si="6"/>
        <v>0</v>
      </c>
      <c r="Z44" s="5">
        <f t="shared" si="6"/>
        <v>0</v>
      </c>
      <c r="AA44" s="5">
        <f t="shared" si="6"/>
        <v>0</v>
      </c>
      <c r="AB44" s="5">
        <f t="shared" si="6"/>
        <v>0</v>
      </c>
      <c r="AC44" s="5">
        <f t="shared" si="6"/>
        <v>0</v>
      </c>
      <c r="AD44" s="5">
        <f t="shared" si="6"/>
        <v>0</v>
      </c>
      <c r="AE44" s="5">
        <f t="shared" si="6"/>
        <v>0</v>
      </c>
      <c r="AF44" s="5">
        <f t="shared" si="6"/>
        <v>0</v>
      </c>
      <c r="AG44" s="5">
        <f t="shared" si="6"/>
        <v>0</v>
      </c>
      <c r="AH44" s="5">
        <f t="shared" si="6"/>
        <v>0</v>
      </c>
      <c r="AI44" s="5">
        <f t="shared" si="6"/>
        <v>0</v>
      </c>
      <c r="AJ44" s="5">
        <f t="shared" si="6"/>
        <v>0</v>
      </c>
      <c r="AK44" s="5">
        <f t="shared" si="6"/>
        <v>0</v>
      </c>
      <c r="AL44" s="5">
        <f t="shared" si="6"/>
        <v>0</v>
      </c>
      <c r="AM44" s="5">
        <f t="shared" si="6"/>
        <v>0</v>
      </c>
      <c r="AN44" s="5">
        <f t="shared" si="6"/>
        <v>0</v>
      </c>
      <c r="AO44" s="5">
        <f t="shared" si="6"/>
        <v>0</v>
      </c>
      <c r="AP44" s="5">
        <f t="shared" si="6"/>
        <v>0</v>
      </c>
      <c r="AQ44" s="5">
        <f t="shared" si="6"/>
        <v>0</v>
      </c>
      <c r="AR44" s="5">
        <f t="shared" si="6"/>
        <v>0</v>
      </c>
      <c r="AS44" s="5">
        <f t="shared" si="6"/>
        <v>0</v>
      </c>
      <c r="AT44" s="5">
        <f t="shared" si="6"/>
        <v>0</v>
      </c>
      <c r="AU44" s="5">
        <f t="shared" si="6"/>
        <v>0</v>
      </c>
      <c r="AV44" s="5">
        <f t="shared" si="6"/>
        <v>0</v>
      </c>
      <c r="AW44" s="5">
        <f t="shared" si="6"/>
        <v>0</v>
      </c>
      <c r="AX44" s="5">
        <f t="shared" si="6"/>
        <v>0</v>
      </c>
      <c r="AY44" s="5">
        <f t="shared" si="6"/>
        <v>0</v>
      </c>
    </row>
    <row r="45" spans="1:38" s="82" customFormat="1" ht="18" customHeight="1" thickBot="1">
      <c r="A45" s="100" t="s">
        <v>5</v>
      </c>
      <c r="B45" s="101" t="s">
        <v>22</v>
      </c>
      <c r="C45" s="101"/>
      <c r="D45" s="144"/>
      <c r="E45" s="144"/>
      <c r="F45" s="144"/>
      <c r="G45" s="144"/>
      <c r="H45" s="144"/>
      <c r="I45" s="144"/>
      <c r="J45" s="140"/>
      <c r="K45" s="140"/>
      <c r="L45" s="140"/>
      <c r="M45" s="140"/>
      <c r="N45" s="140"/>
      <c r="O45" s="140"/>
      <c r="P45" s="140"/>
      <c r="Q45" s="140"/>
      <c r="R45" s="140"/>
      <c r="S45" s="147"/>
      <c r="T45" s="140"/>
      <c r="U45" s="145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38" s="82" customFormat="1" ht="69.75" customHeight="1" hidden="1">
      <c r="A46" s="100"/>
      <c r="B46" s="102"/>
      <c r="C46" s="103"/>
      <c r="D46" s="103"/>
      <c r="E46" s="104"/>
      <c r="F46" s="103"/>
      <c r="G46" s="153"/>
      <c r="H46" s="46"/>
      <c r="I46" s="61"/>
      <c r="J46" s="61"/>
      <c r="K46" s="156"/>
      <c r="L46" s="156"/>
      <c r="M46" s="33"/>
      <c r="N46" s="61"/>
      <c r="O46" s="32"/>
      <c r="P46" s="21"/>
      <c r="Q46" s="21"/>
      <c r="R46" s="21"/>
      <c r="S46" s="146"/>
      <c r="T46" s="61"/>
      <c r="U46" s="61"/>
      <c r="V46" s="81"/>
      <c r="W46" s="105"/>
      <c r="X46" s="105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38" s="82" customFormat="1" ht="18" customHeight="1" thickBot="1">
      <c r="A47" s="106" t="s">
        <v>21</v>
      </c>
      <c r="B47" s="107"/>
      <c r="C47" s="108"/>
      <c r="D47" s="108"/>
      <c r="E47" s="109"/>
      <c r="F47" s="110"/>
      <c r="G47" s="110"/>
      <c r="H47" s="103"/>
      <c r="I47" s="34">
        <f>I46</f>
        <v>0</v>
      </c>
      <c r="J47" s="34">
        <f>J46</f>
        <v>0</v>
      </c>
      <c r="K47" s="34"/>
      <c r="L47" s="34"/>
      <c r="M47" s="34">
        <f>M46</f>
        <v>0</v>
      </c>
      <c r="N47" s="34">
        <f>N46</f>
        <v>0</v>
      </c>
      <c r="O47" s="34">
        <f>O46</f>
        <v>0</v>
      </c>
      <c r="P47" s="22">
        <v>3</v>
      </c>
      <c r="Q47" s="22">
        <v>0</v>
      </c>
      <c r="R47" s="22">
        <v>0</v>
      </c>
      <c r="S47" s="22">
        <v>0</v>
      </c>
      <c r="T47" s="34">
        <f>N47</f>
        <v>0</v>
      </c>
      <c r="U47" s="34">
        <f>T47</f>
        <v>0</v>
      </c>
      <c r="V47" s="81"/>
      <c r="W47" s="11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</row>
    <row r="48" spans="1:23" ht="16.5" customHeight="1" thickBot="1">
      <c r="A48" s="112"/>
      <c r="B48" s="20" t="s">
        <v>16</v>
      </c>
      <c r="C48" s="19"/>
      <c r="D48" s="19"/>
      <c r="E48" s="19"/>
      <c r="F48" s="99"/>
      <c r="G48" s="99"/>
      <c r="H48" s="113"/>
      <c r="I48" s="23">
        <f aca="true" t="shared" si="7" ref="I48:U48">I39+I44</f>
        <v>79604000</v>
      </c>
      <c r="J48" s="23">
        <f t="shared" si="7"/>
        <v>15000000</v>
      </c>
      <c r="K48" s="23">
        <f t="shared" si="7"/>
        <v>12166000</v>
      </c>
      <c r="L48" s="23">
        <f t="shared" si="7"/>
        <v>5214000</v>
      </c>
      <c r="M48" s="23">
        <f t="shared" si="7"/>
        <v>11620000</v>
      </c>
      <c r="N48" s="23">
        <f t="shared" si="7"/>
        <v>82984000</v>
      </c>
      <c r="O48" s="23">
        <f t="shared" si="7"/>
        <v>82984000</v>
      </c>
      <c r="P48" s="23">
        <f t="shared" si="7"/>
        <v>0</v>
      </c>
      <c r="Q48" s="23">
        <f t="shared" si="7"/>
        <v>0</v>
      </c>
      <c r="R48" s="23">
        <f t="shared" si="7"/>
        <v>2487745.18</v>
      </c>
      <c r="S48" s="23">
        <f t="shared" si="7"/>
        <v>2410276.8600000003</v>
      </c>
      <c r="T48" s="23">
        <f t="shared" si="7"/>
        <v>77468.31999999995</v>
      </c>
      <c r="U48" s="23">
        <f t="shared" si="7"/>
        <v>83061468.32</v>
      </c>
      <c r="V48" s="25"/>
      <c r="W48" s="114"/>
    </row>
    <row r="49" spans="1:22" ht="16.5" customHeight="1">
      <c r="A49" s="25"/>
      <c r="B49" s="81"/>
      <c r="C49" s="10"/>
      <c r="D49" s="10"/>
      <c r="E49" s="10"/>
      <c r="F49" s="10"/>
      <c r="G49" s="10"/>
      <c r="H49" s="10"/>
      <c r="I49" s="24"/>
      <c r="J49" s="24"/>
      <c r="K49" s="24"/>
      <c r="L49" s="24"/>
      <c r="M49" s="24"/>
      <c r="N49" s="24"/>
      <c r="O49" s="24"/>
      <c r="P49" s="40"/>
      <c r="Q49" s="24"/>
      <c r="R49" s="24"/>
      <c r="S49" s="24"/>
      <c r="T49" s="24"/>
      <c r="U49" s="24"/>
      <c r="V49" s="25"/>
    </row>
    <row r="50" spans="1:22" ht="16.5" customHeight="1">
      <c r="A50" s="25"/>
      <c r="B50" s="10" t="s">
        <v>35</v>
      </c>
      <c r="C50" s="10"/>
      <c r="D50" s="10"/>
      <c r="E50" s="10"/>
      <c r="F50" s="10"/>
      <c r="G50" s="10"/>
      <c r="H50" s="10"/>
      <c r="I50" s="24" t="s">
        <v>39</v>
      </c>
      <c r="J50" s="24"/>
      <c r="K50" s="24"/>
      <c r="L50" s="24"/>
      <c r="M50" s="24"/>
      <c r="N50" s="24"/>
      <c r="O50" s="24"/>
      <c r="P50" s="40"/>
      <c r="Q50" s="24"/>
      <c r="R50" s="24"/>
      <c r="S50" s="40"/>
      <c r="T50" s="24"/>
      <c r="U50" s="24"/>
      <c r="V50" s="25"/>
    </row>
    <row r="51" spans="1:22" ht="16.5" customHeight="1">
      <c r="A51" s="2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24"/>
      <c r="T51" s="10"/>
      <c r="U51" s="10"/>
      <c r="V51" s="25"/>
    </row>
    <row r="52" spans="1:22" ht="15.75" customHeight="1">
      <c r="A52" s="25"/>
      <c r="B52" s="10" t="s">
        <v>27</v>
      </c>
      <c r="C52" s="10"/>
      <c r="D52" s="115"/>
      <c r="E52" s="116"/>
      <c r="F52" s="116"/>
      <c r="G52" s="116"/>
      <c r="H52" s="116"/>
      <c r="I52" s="35" t="s">
        <v>43</v>
      </c>
      <c r="J52" s="35"/>
      <c r="K52" s="35"/>
      <c r="L52" s="35"/>
      <c r="M52" s="35"/>
      <c r="N52" s="35"/>
      <c r="O52" s="35"/>
      <c r="P52" s="10"/>
      <c r="Q52" s="10"/>
      <c r="R52" s="10"/>
      <c r="S52" s="10"/>
      <c r="T52" s="10"/>
      <c r="U52" s="10"/>
      <c r="V52" s="25"/>
    </row>
    <row r="53" spans="1:22" ht="15.75" customHeight="1">
      <c r="A53" s="25"/>
      <c r="B53" s="10" t="s">
        <v>26</v>
      </c>
      <c r="C53" s="10"/>
      <c r="D53" s="115"/>
      <c r="E53" s="116"/>
      <c r="F53" s="116"/>
      <c r="G53" s="116"/>
      <c r="H53" s="116"/>
      <c r="I53" s="35"/>
      <c r="J53" s="35"/>
      <c r="K53" s="35"/>
      <c r="L53" s="35"/>
      <c r="M53" s="35"/>
      <c r="N53" s="117"/>
      <c r="O53" s="117"/>
      <c r="P53" s="10"/>
      <c r="Q53" s="10"/>
      <c r="R53" s="10"/>
      <c r="S53" s="10"/>
      <c r="T53" s="10"/>
      <c r="U53" s="10"/>
      <c r="V53" s="25"/>
    </row>
    <row r="54" spans="1:22" ht="12.75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0.75" customHeight="1">
      <c r="A55" s="25"/>
      <c r="B55" s="10"/>
      <c r="C55" s="10"/>
      <c r="D55" s="39"/>
      <c r="E55" s="10"/>
      <c r="F55" s="10"/>
      <c r="G55" s="10"/>
      <c r="H55" s="10"/>
      <c r="I55" s="118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14.25" customHeight="1" hidden="1">
      <c r="A56" s="25"/>
      <c r="B56" s="10"/>
      <c r="C56" s="10"/>
      <c r="D56" s="39"/>
      <c r="E56" s="10"/>
      <c r="F56" s="10"/>
      <c r="G56" s="10"/>
      <c r="H56" s="10"/>
      <c r="I56" s="36"/>
      <c r="J56" s="36"/>
      <c r="K56" s="36"/>
      <c r="L56" s="36"/>
      <c r="M56" s="36"/>
      <c r="N56" s="36"/>
      <c r="O56" s="36"/>
      <c r="P56" s="10"/>
      <c r="Q56" s="10"/>
      <c r="R56" s="10"/>
      <c r="S56" s="10"/>
      <c r="T56" s="10"/>
      <c r="U56" s="10"/>
      <c r="V56" s="25"/>
    </row>
    <row r="57" spans="1:22" ht="13.5" customHeight="1" hidden="1">
      <c r="A57" s="25"/>
      <c r="B57" s="10"/>
      <c r="C57" s="10"/>
      <c r="D57" s="10"/>
      <c r="E57" s="10"/>
      <c r="F57" s="10"/>
      <c r="G57" s="10"/>
      <c r="H57" s="10"/>
      <c r="I57" s="37"/>
      <c r="J57" s="37"/>
      <c r="K57" s="37"/>
      <c r="L57" s="37"/>
      <c r="M57" s="37"/>
      <c r="N57" s="37"/>
      <c r="O57" s="37"/>
      <c r="P57" s="10"/>
      <c r="Q57" s="10"/>
      <c r="R57" s="10"/>
      <c r="S57" s="10"/>
      <c r="T57" s="10"/>
      <c r="U57" s="10"/>
      <c r="V57" s="25"/>
    </row>
    <row r="58" spans="2:21" s="25" customFormat="1" ht="12.75" customHeight="1">
      <c r="B58" s="10" t="s">
        <v>14</v>
      </c>
      <c r="C58" s="39"/>
      <c r="D58" s="119"/>
      <c r="E58" s="120"/>
      <c r="F58" s="10"/>
      <c r="G58" s="10"/>
      <c r="H58" s="10"/>
      <c r="I58" s="37"/>
      <c r="J58" s="37"/>
      <c r="K58" s="37"/>
      <c r="L58" s="37"/>
      <c r="M58" s="37"/>
      <c r="N58" s="37"/>
      <c r="O58" s="37"/>
      <c r="P58" s="10"/>
      <c r="Q58" s="10"/>
      <c r="R58" s="10"/>
      <c r="S58" s="10"/>
      <c r="T58" s="10"/>
      <c r="U58" s="10"/>
    </row>
    <row r="59" spans="1:21" s="25" customFormat="1" ht="9.75" customHeight="1">
      <c r="A59" s="121"/>
      <c r="B59" s="122" t="s">
        <v>20</v>
      </c>
      <c r="C59" s="10"/>
      <c r="D59" s="10"/>
      <c r="E59" s="123"/>
      <c r="F59" s="123"/>
      <c r="G59" s="123"/>
      <c r="H59" s="124"/>
      <c r="I59" s="38"/>
      <c r="J59" s="38"/>
      <c r="K59" s="38"/>
      <c r="L59" s="38"/>
      <c r="M59" s="38"/>
      <c r="N59" s="38"/>
      <c r="O59" s="38"/>
      <c r="P59" s="10"/>
      <c r="Q59" s="10"/>
      <c r="R59" s="10"/>
      <c r="S59" s="10"/>
      <c r="T59" s="10"/>
      <c r="U59" s="10"/>
    </row>
    <row r="60" spans="2:21" s="25" customFormat="1" ht="12.75">
      <c r="B60" s="39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38"/>
      <c r="G63" s="38"/>
      <c r="H63" s="38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125"/>
      <c r="G64" s="125"/>
      <c r="H64" s="125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1:21" s="25" customFormat="1" ht="17.25">
      <c r="A65" s="121"/>
      <c r="B65" s="121"/>
      <c r="C65" s="126"/>
      <c r="D65" s="126"/>
      <c r="E65" s="126"/>
      <c r="F65" s="126"/>
      <c r="G65" s="126"/>
      <c r="H65" s="126"/>
      <c r="I65" s="39"/>
      <c r="J65" s="39"/>
      <c r="K65" s="39"/>
      <c r="L65" s="39"/>
      <c r="M65" s="39"/>
      <c r="N65" s="39"/>
      <c r="O65" s="39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38"/>
      <c r="F68" s="38"/>
      <c r="G68" s="38"/>
      <c r="H68" s="3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1:21" s="25" customFormat="1" ht="17.25">
      <c r="A69" s="127"/>
      <c r="B69" s="10"/>
      <c r="C69" s="10"/>
      <c r="D69" s="10"/>
      <c r="E69" s="124"/>
      <c r="F69" s="124"/>
      <c r="G69" s="124"/>
      <c r="H69" s="124"/>
      <c r="I69" s="38"/>
      <c r="J69" s="38"/>
      <c r="K69" s="38"/>
      <c r="L69" s="38"/>
      <c r="M69" s="38"/>
      <c r="N69" s="38"/>
      <c r="O69" s="38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15"/>
      <c r="E72" s="116"/>
      <c r="F72" s="128"/>
      <c r="G72" s="128"/>
      <c r="H72" s="128"/>
      <c r="I72" s="35"/>
      <c r="J72" s="35"/>
      <c r="K72" s="35"/>
      <c r="L72" s="35"/>
      <c r="M72" s="35"/>
      <c r="N72" s="35"/>
      <c r="O72" s="35"/>
      <c r="P72" s="10"/>
      <c r="Q72" s="10"/>
      <c r="R72" s="10"/>
      <c r="S72" s="10"/>
      <c r="T72" s="10"/>
      <c r="U72" s="10"/>
    </row>
    <row r="73" spans="1:21" s="25" customFormat="1" ht="17.25">
      <c r="A73" s="121"/>
      <c r="B73" s="121"/>
      <c r="C73" s="121"/>
      <c r="D73" s="121"/>
      <c r="E73" s="121"/>
      <c r="F73" s="121"/>
      <c r="G73" s="121"/>
      <c r="H73" s="129"/>
      <c r="I73" s="13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115"/>
      <c r="E75" s="116"/>
      <c r="F75" s="116"/>
      <c r="G75" s="116"/>
      <c r="H75" s="116"/>
      <c r="I75" s="35"/>
      <c r="J75" s="35"/>
      <c r="K75" s="35"/>
      <c r="L75" s="35"/>
      <c r="M75" s="35"/>
      <c r="N75" s="117"/>
      <c r="O75" s="117"/>
      <c r="P75" s="10"/>
      <c r="Q75" s="10"/>
      <c r="R75" s="10"/>
      <c r="S75" s="10"/>
      <c r="T75" s="10"/>
      <c r="U75" s="10"/>
    </row>
    <row r="76" spans="2:21" s="25" customFormat="1" ht="12.75">
      <c r="B76" s="10"/>
      <c r="C76" s="10"/>
      <c r="D76" s="39"/>
      <c r="E76" s="10"/>
      <c r="F76" s="10"/>
      <c r="G76" s="10"/>
      <c r="H76" s="10"/>
      <c r="I76" s="36"/>
      <c r="J76" s="36"/>
      <c r="K76" s="36"/>
      <c r="L76" s="36"/>
      <c r="M76" s="36"/>
      <c r="N76" s="36"/>
      <c r="O76" s="36"/>
      <c r="P76" s="10"/>
      <c r="Q76" s="10"/>
      <c r="R76" s="10"/>
      <c r="T76" s="10"/>
      <c r="U76" s="10"/>
    </row>
    <row r="77" s="25" customFormat="1" ht="12.75">
      <c r="S77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7"/>
  <sheetViews>
    <sheetView zoomScalePageLayoutView="0" workbookViewId="0" topLeftCell="M38">
      <selection activeCell="P30" sqref="P30"/>
    </sheetView>
  </sheetViews>
  <sheetFormatPr defaultColWidth="9.125" defaultRowHeight="12.75"/>
  <cols>
    <col min="1" max="1" width="3.625" style="8" customWidth="1"/>
    <col min="2" max="2" width="7.50390625" style="8" customWidth="1"/>
    <col min="3" max="3" width="15.5039062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375" style="8" customWidth="1"/>
    <col min="9" max="9" width="16.50390625" style="8" customWidth="1"/>
    <col min="10" max="10" width="15.625" style="8" customWidth="1"/>
    <col min="11" max="12" width="13.125" style="8" hidden="1" customWidth="1"/>
    <col min="13" max="13" width="14.50390625" style="8" customWidth="1"/>
    <col min="14" max="14" width="17.50390625" style="8" customWidth="1"/>
    <col min="15" max="15" width="18.00390625" style="8" customWidth="1"/>
    <col min="16" max="16" width="6.50390625" style="8" customWidth="1"/>
    <col min="17" max="17" width="14.00390625" style="8" customWidth="1"/>
    <col min="18" max="18" width="13.50390625" style="8" customWidth="1"/>
    <col min="19" max="20" width="14.125" style="8" customWidth="1"/>
    <col min="21" max="21" width="17.00390625" style="8" customWidth="1"/>
    <col min="22" max="22" width="2.50390625" style="8" hidden="1" customWidth="1"/>
    <col min="23" max="23" width="15.125" style="8" hidden="1" customWidth="1"/>
    <col min="24" max="24" width="12.875" style="8" hidden="1" customWidth="1"/>
    <col min="25" max="25" width="11.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121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122</v>
      </c>
      <c r="K8" s="11" t="s">
        <v>70</v>
      </c>
      <c r="L8" s="11" t="s">
        <v>71</v>
      </c>
      <c r="M8" s="11" t="s">
        <v>123</v>
      </c>
      <c r="N8" s="11" t="s">
        <v>124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8">N23</f>
        <v>0</v>
      </c>
      <c r="P23" s="7"/>
      <c r="Q23" s="7"/>
      <c r="R23" s="5"/>
      <c r="S23" s="7"/>
      <c r="T23" s="6">
        <f aca="true" t="shared" si="1" ref="T23:T38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1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>
        <v>-1560000</v>
      </c>
      <c r="K30" s="134">
        <v>4158000</v>
      </c>
      <c r="L30" s="134">
        <v>1782000</v>
      </c>
      <c r="M30" s="135">
        <f>785000+785000+785000+785000+780000</f>
        <v>3920000</v>
      </c>
      <c r="N30" s="52">
        <f aca="true" t="shared" si="2" ref="N30:N38">I30+J30-M30</f>
        <v>0</v>
      </c>
      <c r="O30" s="149">
        <f t="shared" si="0"/>
        <v>0</v>
      </c>
      <c r="P30" s="136"/>
      <c r="Q30" s="136"/>
      <c r="R30" s="150">
        <f>11244.19+8136.45+7466.64+5356.72+4250.3+1103.98</f>
        <v>37558.280000000006</v>
      </c>
      <c r="S30" s="150">
        <f>11244.19+8136.45+7466.64+5356.72+4250.3+1103.98</f>
        <v>37558.280000000006</v>
      </c>
      <c r="T30" s="32">
        <f t="shared" si="1"/>
        <v>0</v>
      </c>
      <c r="U30" s="48">
        <f aca="true" t="shared" si="3" ref="U30:U38">O30+T30</f>
        <v>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2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>
        <v>-3500000</v>
      </c>
      <c r="K31" s="134"/>
      <c r="L31" s="134"/>
      <c r="M31" s="135">
        <f>500000+500000+500000+500000+500000</f>
        <v>2500000</v>
      </c>
      <c r="N31" s="52">
        <f t="shared" si="2"/>
        <v>0</v>
      </c>
      <c r="O31" s="149">
        <f t="shared" si="0"/>
        <v>0</v>
      </c>
      <c r="P31" s="136"/>
      <c r="Q31" s="136"/>
      <c r="R31" s="150">
        <f>12667.32+10155.08+10261.23+8739.74+8208.96+2476.84</f>
        <v>52509.17</v>
      </c>
      <c r="S31" s="150">
        <f>12667.32+10155.08+10261.23+8739.74+8208.96+2476.84</f>
        <v>52509.17</v>
      </c>
      <c r="T31" s="32">
        <f t="shared" si="1"/>
        <v>0</v>
      </c>
      <c r="U31" s="48">
        <f>O31+T31</f>
        <v>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3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>
        <v>9751.16</v>
      </c>
      <c r="S32" s="137">
        <v>9751.16</v>
      </c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4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>
        <v>-4998000</v>
      </c>
      <c r="K33" s="134">
        <v>5497800</v>
      </c>
      <c r="L33" s="134">
        <v>2356200</v>
      </c>
      <c r="M33" s="135">
        <f>714000+714000+714000+714000+714000</f>
        <v>3570000</v>
      </c>
      <c r="N33" s="52">
        <f t="shared" si="2"/>
        <v>3578000</v>
      </c>
      <c r="O33" s="149">
        <f t="shared" si="0"/>
        <v>3578000</v>
      </c>
      <c r="P33" s="136"/>
      <c r="Q33" s="136"/>
      <c r="R33" s="150">
        <v>120699.3</v>
      </c>
      <c r="S33" s="137">
        <v>120699.3</v>
      </c>
      <c r="T33" s="32">
        <f t="shared" si="1"/>
        <v>0</v>
      </c>
      <c r="U33" s="48">
        <f t="shared" si="3"/>
        <v>3578000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5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>
        <v>-322000</v>
      </c>
      <c r="K34" s="134">
        <v>354200</v>
      </c>
      <c r="L34" s="134">
        <v>151800</v>
      </c>
      <c r="M34" s="135">
        <f>46000+46000+46000+46000+46000</f>
        <v>230000</v>
      </c>
      <c r="N34" s="52">
        <f t="shared" si="2"/>
        <v>342000</v>
      </c>
      <c r="O34" s="149">
        <f t="shared" si="0"/>
        <v>342000</v>
      </c>
      <c r="P34" s="136"/>
      <c r="Q34" s="136"/>
      <c r="R34" s="150">
        <v>9216.85</v>
      </c>
      <c r="S34" s="137">
        <v>9216.85</v>
      </c>
      <c r="T34" s="32">
        <f t="shared" si="1"/>
        <v>0</v>
      </c>
      <c r="U34" s="48">
        <f>O34+T34</f>
        <v>342000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6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>
        <v>-1960000</v>
      </c>
      <c r="K35" s="134">
        <v>2156000</v>
      </c>
      <c r="L35" s="134">
        <v>924000</v>
      </c>
      <c r="M35" s="135">
        <f>280000+280000+280000+280000+280000</f>
        <v>1400000</v>
      </c>
      <c r="N35" s="52">
        <f t="shared" si="2"/>
        <v>3560000</v>
      </c>
      <c r="O35" s="149">
        <f t="shared" si="0"/>
        <v>3560000</v>
      </c>
      <c r="P35" s="155" t="s">
        <v>61</v>
      </c>
      <c r="Q35" s="136"/>
      <c r="R35" s="150">
        <v>74990.43</v>
      </c>
      <c r="S35" s="137">
        <v>74990.43</v>
      </c>
      <c r="T35" s="32">
        <f t="shared" si="1"/>
        <v>0</v>
      </c>
      <c r="U35" s="48">
        <f t="shared" si="3"/>
        <v>3560000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7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>
        <v>31942.52</v>
      </c>
      <c r="S37" s="137">
        <v>31942.52</v>
      </c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66.75" customHeight="1">
      <c r="A38" s="50">
        <v>8</v>
      </c>
      <c r="B38" s="42" t="s">
        <v>15</v>
      </c>
      <c r="C38" s="51" t="s">
        <v>103</v>
      </c>
      <c r="D38" s="51" t="s">
        <v>34</v>
      </c>
      <c r="E38" s="44">
        <v>0</v>
      </c>
      <c r="F38" s="45" t="s">
        <v>104</v>
      </c>
      <c r="G38" s="45"/>
      <c r="H38" s="46" t="s">
        <v>28</v>
      </c>
      <c r="I38" s="135">
        <v>0</v>
      </c>
      <c r="J38" s="134">
        <v>12340000</v>
      </c>
      <c r="K38" s="134"/>
      <c r="L38" s="134"/>
      <c r="M38" s="135">
        <v>0</v>
      </c>
      <c r="N38" s="149">
        <f t="shared" si="2"/>
        <v>12340000</v>
      </c>
      <c r="O38" s="149">
        <f t="shared" si="0"/>
        <v>12340000</v>
      </c>
      <c r="P38" s="155"/>
      <c r="Q38" s="136"/>
      <c r="R38" s="150">
        <v>676.16</v>
      </c>
      <c r="S38" s="137">
        <v>676.16</v>
      </c>
      <c r="T38" s="32">
        <f t="shared" si="1"/>
        <v>0</v>
      </c>
      <c r="U38" s="48">
        <f t="shared" si="3"/>
        <v>12340000</v>
      </c>
      <c r="V38" s="49"/>
      <c r="W38" s="49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51" ht="15.75" customHeight="1" thickBot="1">
      <c r="A39" s="94" t="s">
        <v>21</v>
      </c>
      <c r="B39" s="18"/>
      <c r="C39" s="18"/>
      <c r="D39" s="95"/>
      <c r="E39" s="96"/>
      <c r="F39" s="97"/>
      <c r="G39" s="97"/>
      <c r="H39" s="97"/>
      <c r="I39" s="133">
        <f>SUM(I23:I38)</f>
        <v>53604000</v>
      </c>
      <c r="J39" s="133">
        <f>SUM(J23:J38)</f>
        <v>0</v>
      </c>
      <c r="K39" s="133">
        <f>SUM(K23:K37)</f>
        <v>12166000</v>
      </c>
      <c r="L39" s="133">
        <f>SUM(L23:L37)</f>
        <v>5214000</v>
      </c>
      <c r="M39" s="133">
        <f>SUM(M23:M38)</f>
        <v>11620000</v>
      </c>
      <c r="N39" s="133">
        <f>SUM(N23:N38)</f>
        <v>41984000</v>
      </c>
      <c r="O39" s="133">
        <f>SUM(O23:O38)</f>
        <v>41984000</v>
      </c>
      <c r="P39" s="133">
        <f aca="true" t="shared" si="4" ref="P39:U39">SUM(P23:P38)</f>
        <v>0</v>
      </c>
      <c r="Q39" s="133">
        <f t="shared" si="4"/>
        <v>0</v>
      </c>
      <c r="R39" s="133">
        <f t="shared" si="4"/>
        <v>337343.87000000005</v>
      </c>
      <c r="S39" s="133">
        <f t="shared" si="4"/>
        <v>337343.87000000005</v>
      </c>
      <c r="T39" s="133">
        <f t="shared" si="4"/>
        <v>0</v>
      </c>
      <c r="U39" s="133">
        <f t="shared" si="4"/>
        <v>41984000</v>
      </c>
      <c r="V39" s="133" t="e">
        <f>#REF!+#REF!+#REF!+#REF!+V23+V24+#REF!+#REF!+#REF!+#REF!+V27+#REF!+V28+V29+V30+V31+V25+V26+V32+V33+V34+V35</f>
        <v>#REF!</v>
      </c>
      <c r="W39" s="133" t="e">
        <f>#REF!+#REF!+#REF!+#REF!+W23+W24+#REF!+#REF!+#REF!+#REF!+W27+#REF!+W28+W29+W30+W31+W25+W26+W32+W33+W34+W35</f>
        <v>#REF!</v>
      </c>
      <c r="X39" s="133" t="e">
        <f>#REF!+#REF!+#REF!+#REF!+X23+X24+#REF!+#REF!+#REF!+#REF!+X27+#REF!+X28+X29+X30+X31+X25+X26+X32+X33+X34+X35</f>
        <v>#REF!</v>
      </c>
      <c r="Y39" s="133" t="e">
        <f>#REF!+#REF!+#REF!+#REF!+Y23+Y24+#REF!+#REF!+#REF!+#REF!+Y27+#REF!+Y28+Y29+Y30+Y31+Y25+Y26+Y32+Y33+Y34+Y35</f>
        <v>#REF!</v>
      </c>
      <c r="Z39" s="133" t="e">
        <f>#REF!+#REF!+#REF!+#REF!+Z23+Z24+#REF!+#REF!+#REF!+#REF!+Z27+#REF!+Z28+Z29+Z30+Z31+Z25+Z26+Z32+Z33+Z34+Z35</f>
        <v>#REF!</v>
      </c>
      <c r="AA39" s="133" t="e">
        <f>#REF!+#REF!+#REF!+#REF!+AA23+AA24+#REF!+#REF!+#REF!+#REF!+AA27+#REF!+AA28+AA29+AA30+AA31+AA25+AA26+AA32+AA33+AA34+AA35</f>
        <v>#REF!</v>
      </c>
      <c r="AB39" s="133" t="e">
        <f>#REF!+#REF!+#REF!+#REF!+AB23+AB24+#REF!+#REF!+#REF!+#REF!+AB27+#REF!+AB28+AB29+AB30+AB31+AB25+AB26+AB32+AB33+AB34+AB35</f>
        <v>#REF!</v>
      </c>
      <c r="AC39" s="133" t="e">
        <f>#REF!+#REF!+#REF!+#REF!+AC23+AC24+#REF!+#REF!+#REF!+#REF!+AC27+#REF!+AC28+AC29+AC30+AC31+AC25+AC26+AC32+AC33+AC34+AC35</f>
        <v>#REF!</v>
      </c>
      <c r="AD39" s="133" t="e">
        <f>#REF!+#REF!+#REF!+#REF!+AD23+AD24+#REF!+#REF!+#REF!+#REF!+AD27+#REF!+AD28+AD29+AD30+AD31+AD25+AD26+AD32+AD33+AD34+AD35</f>
        <v>#REF!</v>
      </c>
      <c r="AE39" s="133" t="e">
        <f>#REF!+#REF!+#REF!+#REF!+AE23+AE24+#REF!+#REF!+#REF!+#REF!+AE27+#REF!+AE28+AE29+AE30+AE31+AE25+AE26+AE32+AE33+AE34+AE35</f>
        <v>#REF!</v>
      </c>
      <c r="AF39" s="133" t="e">
        <f>#REF!+#REF!+#REF!+#REF!+AF23+AF24+#REF!+#REF!+#REF!+#REF!+AF27+#REF!+AF28+AF29+AF30+AF31+AF25+AF26+AF32+AF33+AF34+AF35</f>
        <v>#REF!</v>
      </c>
      <c r="AG39" s="133" t="e">
        <f>#REF!+#REF!+#REF!+#REF!+AG23+AG24+#REF!+#REF!+#REF!+#REF!+AG27+#REF!+AG28+AG29+AG30+AG31+AG25+AG26+AG32+AG33+AG34+AG35</f>
        <v>#REF!</v>
      </c>
      <c r="AH39" s="133" t="e">
        <f>#REF!+#REF!+#REF!+#REF!+AH23+AH24+#REF!+#REF!+#REF!+#REF!+AH27+#REF!+AH28+AH29+AH30+AH31+AH25+AH26+AH32+AH33+AH34+AH35</f>
        <v>#REF!</v>
      </c>
      <c r="AI39" s="133" t="e">
        <f>#REF!+#REF!+#REF!+#REF!+AI23+AI24+#REF!+#REF!+#REF!+#REF!+AI27+#REF!+AI28+AI29+AI30+AI31+AI25+AI26+AI32+AI33+AI34+AI35</f>
        <v>#REF!</v>
      </c>
      <c r="AJ39" s="133" t="e">
        <f>#REF!+#REF!+#REF!+#REF!+AJ23+AJ24+#REF!+#REF!+#REF!+#REF!+AJ27+#REF!+AJ28+AJ29+AJ30+AJ31+AJ25+AJ26+AJ32+AJ33+AJ34+AJ35</f>
        <v>#REF!</v>
      </c>
      <c r="AK39" s="133" t="e">
        <f>#REF!+#REF!+#REF!+#REF!+AK23+AK24+#REF!+#REF!+#REF!+#REF!+AK27+#REF!+AK28+AK29+AK30+AK31+AK25+AK26+AK32+AK33+AK34+AK35</f>
        <v>#REF!</v>
      </c>
      <c r="AL39" s="133" t="e">
        <f>#REF!+#REF!+#REF!+#REF!+AL23+AL24+#REF!+#REF!+#REF!+#REF!+AL27+#REF!+AL28+AL29+AL30+AL31+AL25+AL26+AL32+AL33+AL34+AL35</f>
        <v>#REF!</v>
      </c>
      <c r="AM39" s="133" t="e">
        <f>#REF!+#REF!+#REF!+#REF!+AM23+AM24+#REF!+#REF!+#REF!+#REF!+AM27+#REF!+AM28+AM29+AM30+AM31+AM25+AM26+AM32+AM33+AM34+AM35</f>
        <v>#REF!</v>
      </c>
      <c r="AN39" s="133" t="e">
        <f>#REF!+#REF!+#REF!+#REF!+AN23+AN24+#REF!+#REF!+#REF!+#REF!+AN27+#REF!+AN28+AN29+AN30+AN31+AN25+AN26+AN32+AN33+AN34+AN35</f>
        <v>#REF!</v>
      </c>
      <c r="AO39" s="133" t="e">
        <f>#REF!+#REF!+#REF!+#REF!+AO23+AO24+#REF!+#REF!+#REF!+#REF!+AO27+#REF!+AO28+AO29+AO30+AO31+AO25+AO26+AO32+AO33+AO34+AO35</f>
        <v>#REF!</v>
      </c>
      <c r="AP39" s="133" t="e">
        <f>#REF!+#REF!+#REF!+#REF!+AP23+AP24+#REF!+#REF!+#REF!+#REF!+AP27+#REF!+AP28+AP29+AP30+AP31+AP25+AP26+AP32+AP33+AP34+AP35</f>
        <v>#REF!</v>
      </c>
      <c r="AQ39" s="133" t="e">
        <f>#REF!+#REF!+#REF!+#REF!+AQ23+AQ24+#REF!+#REF!+#REF!+#REF!+AQ27+#REF!+AQ28+AQ29+AQ30+AQ31+AQ25+AQ26+AQ32+AQ33+AQ34+AQ35</f>
        <v>#REF!</v>
      </c>
      <c r="AR39" s="133" t="e">
        <f>#REF!+#REF!+#REF!+#REF!+AR23+AR24+#REF!+#REF!+#REF!+#REF!+AR27+#REF!+AR28+AR29+AR30+AR31+AR25+AR26+AR32+AR33+AR34+AR35</f>
        <v>#REF!</v>
      </c>
      <c r="AS39" s="133" t="e">
        <f>#REF!+#REF!+#REF!+#REF!+AS23+AS24+#REF!+#REF!+#REF!+#REF!+AS27+#REF!+AS28+AS29+AS30+AS31+AS25+AS26+AS32+AS33+AS34+AS35</f>
        <v>#REF!</v>
      </c>
      <c r="AT39" s="133" t="e">
        <f>#REF!+#REF!+#REF!+#REF!+AT23+AT24+#REF!+#REF!+#REF!+#REF!+AT27+#REF!+AT28+AT29+AT30+AT31+AT25+AT26+AT32+AT33+AT34+AT35</f>
        <v>#REF!</v>
      </c>
      <c r="AU39" s="133" t="e">
        <f>#REF!+#REF!+#REF!+#REF!+AU23+AU24+#REF!+#REF!+#REF!+#REF!+AU27+#REF!+AU28+AU29+AU30+AU31+AU25+AU26+AU32+AU33+AU34+AU35</f>
        <v>#REF!</v>
      </c>
      <c r="AV39" s="133" t="e">
        <f>#REF!+#REF!+#REF!+#REF!+AV23+AV24+#REF!+#REF!+#REF!+#REF!+AV27+#REF!+AV28+AV29+AV30+AV31+AV25+AV26+AV32+AV33+AV34+AV35</f>
        <v>#REF!</v>
      </c>
      <c r="AW39" s="133" t="e">
        <f>#REF!+#REF!+#REF!+#REF!+AW23+AW24+#REF!+#REF!+#REF!+#REF!+AW27+#REF!+AW28+AW29+AW30+AW31+AW25+AW26+AW32+AW33+AW34+AW35</f>
        <v>#REF!</v>
      </c>
      <c r="AX39" s="133" t="e">
        <f>#REF!+#REF!+#REF!+#REF!+AX23+AX24+#REF!+#REF!+#REF!+#REF!+AX27+#REF!+AX28+AX29+AX30+AX31+AX25+AX26+AX32+AX33+AX34+AX35</f>
        <v>#REF!</v>
      </c>
      <c r="AY39" s="133" t="e">
        <f>#REF!+#REF!+#REF!+#REF!+AY23+AY24+#REF!+#REF!+#REF!+#REF!+AY27+#REF!+AY28+AY29+AY30+AY31+AY25+AY26+AY32+AY33+AY34+AY35</f>
        <v>#REF!</v>
      </c>
    </row>
    <row r="40" spans="1:22" ht="16.5" customHeight="1" thickBot="1">
      <c r="A40" s="138" t="s">
        <v>19</v>
      </c>
      <c r="B40" s="139" t="s">
        <v>23</v>
      </c>
      <c r="C40" s="139"/>
      <c r="D40" s="139"/>
      <c r="E40" s="139"/>
      <c r="F40" s="139"/>
      <c r="G40" s="139"/>
      <c r="H40" s="20"/>
      <c r="I40" s="10"/>
      <c r="J40" s="10"/>
      <c r="K40" s="10"/>
      <c r="L40" s="10"/>
      <c r="M40" s="10"/>
      <c r="N40" s="10"/>
      <c r="O40" s="98"/>
      <c r="P40" s="10"/>
      <c r="Q40" s="10"/>
      <c r="R40" s="10"/>
      <c r="S40" s="142"/>
      <c r="T40" s="10"/>
      <c r="U40" s="143"/>
      <c r="V40" s="25"/>
    </row>
    <row r="41" spans="1:22" ht="69" customHeight="1">
      <c r="A41" s="148">
        <v>1</v>
      </c>
      <c r="B41" s="42" t="s">
        <v>23</v>
      </c>
      <c r="C41" s="141" t="s">
        <v>63</v>
      </c>
      <c r="D41" s="131" t="s">
        <v>64</v>
      </c>
      <c r="E41" s="17">
        <v>100000000</v>
      </c>
      <c r="F41" s="151" t="s">
        <v>65</v>
      </c>
      <c r="G41" s="154" t="s">
        <v>62</v>
      </c>
      <c r="H41" s="132" t="s">
        <v>28</v>
      </c>
      <c r="I41" s="152">
        <v>10000000</v>
      </c>
      <c r="J41" s="152">
        <v>0</v>
      </c>
      <c r="K41" s="152"/>
      <c r="L41" s="152"/>
      <c r="M41" s="152">
        <v>0</v>
      </c>
      <c r="N41" s="6">
        <f>I41+J41-M41</f>
        <v>10000000</v>
      </c>
      <c r="O41" s="6">
        <f>N41</f>
        <v>10000000</v>
      </c>
      <c r="P41" s="3"/>
      <c r="Q41" s="3"/>
      <c r="R41" s="3">
        <f>80050.6+72303.77+80050.59+77468.32+80050.59+77468.32+80050.6+80050.59+77468.32+80050.59</f>
        <v>785012.2899999999</v>
      </c>
      <c r="S41" s="3">
        <f>80050.6+72303.77+80050.59+77468.32+80050.59+77468.32+80050.6+80050.59+77468.32</f>
        <v>704961.7</v>
      </c>
      <c r="T41" s="6">
        <f>Q41+R41-S41</f>
        <v>80050.58999999997</v>
      </c>
      <c r="U41" s="6">
        <f>N41+Q41+R41-S41</f>
        <v>10080050.59</v>
      </c>
      <c r="V41" s="25"/>
    </row>
    <row r="42" spans="1:22" ht="69" customHeight="1">
      <c r="A42" s="148">
        <v>2</v>
      </c>
      <c r="B42" s="131" t="s">
        <v>23</v>
      </c>
      <c r="C42" s="157" t="s">
        <v>74</v>
      </c>
      <c r="D42" s="131" t="s">
        <v>41</v>
      </c>
      <c r="E42" s="17">
        <v>160000000</v>
      </c>
      <c r="F42" s="151" t="s">
        <v>76</v>
      </c>
      <c r="G42" s="154" t="s">
        <v>75</v>
      </c>
      <c r="H42" s="132" t="s">
        <v>28</v>
      </c>
      <c r="I42" s="152">
        <v>16000000</v>
      </c>
      <c r="J42" s="152">
        <v>0</v>
      </c>
      <c r="K42" s="152"/>
      <c r="L42" s="152"/>
      <c r="M42" s="152">
        <v>0</v>
      </c>
      <c r="N42" s="6">
        <f>I42+J42-M42</f>
        <v>16000000</v>
      </c>
      <c r="O42" s="6">
        <f>N42</f>
        <v>16000000</v>
      </c>
      <c r="P42" s="3"/>
      <c r="Q42" s="3"/>
      <c r="R42" s="3">
        <f>132282.52+119480.99+132282.52+128015.34+132282.52+128015.34+132282.52+132282.52+128015.34+132282.52</f>
        <v>1297222.1300000001</v>
      </c>
      <c r="S42" s="3">
        <f>132282.52+119480.99+132282.52+128015.34+132282.52+128015.34+132282.52+132282.52+128015.34+132282.52</f>
        <v>1297222.1300000001</v>
      </c>
      <c r="T42" s="6">
        <f>Q42+R42-S42</f>
        <v>0</v>
      </c>
      <c r="U42" s="6">
        <f>N42+Q42+R42-S42</f>
        <v>15999999.999999998</v>
      </c>
      <c r="V42" s="25"/>
    </row>
    <row r="43" spans="1:22" ht="69" customHeight="1">
      <c r="A43" s="158">
        <v>3</v>
      </c>
      <c r="B43" s="131" t="s">
        <v>23</v>
      </c>
      <c r="C43" s="157" t="s">
        <v>109</v>
      </c>
      <c r="D43" s="131" t="s">
        <v>110</v>
      </c>
      <c r="E43" s="17">
        <v>15000000</v>
      </c>
      <c r="F43" s="151" t="s">
        <v>111</v>
      </c>
      <c r="G43" s="154" t="s">
        <v>112</v>
      </c>
      <c r="H43" s="132" t="s">
        <v>28</v>
      </c>
      <c r="I43" s="152">
        <v>0</v>
      </c>
      <c r="J43" s="152">
        <v>15000000</v>
      </c>
      <c r="K43" s="152"/>
      <c r="L43" s="152"/>
      <c r="M43" s="152">
        <v>0</v>
      </c>
      <c r="N43" s="6">
        <f>I43+J43-M43</f>
        <v>15000000</v>
      </c>
      <c r="O43" s="6">
        <f>N43</f>
        <v>15000000</v>
      </c>
      <c r="P43" s="3"/>
      <c r="Q43" s="3"/>
      <c r="R43" s="3">
        <f>46109.59+119116.44+115273.97+119116.44</f>
        <v>399616.44</v>
      </c>
      <c r="S43" s="3">
        <f>46109.59+119116.44+115273.97+119116.44</f>
        <v>399616.44</v>
      </c>
      <c r="T43" s="6">
        <f>Q43+R43-S43</f>
        <v>0</v>
      </c>
      <c r="U43" s="6">
        <f>N43+Q43+R43-S43</f>
        <v>15000000</v>
      </c>
      <c r="V43" s="25"/>
    </row>
    <row r="44" spans="1:51" ht="16.5" customHeight="1" thickBot="1">
      <c r="A44" s="94" t="s">
        <v>21</v>
      </c>
      <c r="B44" s="140"/>
      <c r="C44" s="140"/>
      <c r="D44" s="14"/>
      <c r="E44" s="14"/>
      <c r="F44" s="14"/>
      <c r="G44" s="14"/>
      <c r="H44" s="14"/>
      <c r="I44" s="5">
        <f>I41+I42+I43</f>
        <v>26000000</v>
      </c>
      <c r="J44" s="5">
        <f aca="true" t="shared" si="5" ref="J44:U44">J41+J42+J43</f>
        <v>15000000</v>
      </c>
      <c r="K44" s="5">
        <f t="shared" si="5"/>
        <v>0</v>
      </c>
      <c r="L44" s="5">
        <f t="shared" si="5"/>
        <v>0</v>
      </c>
      <c r="M44" s="5">
        <f t="shared" si="5"/>
        <v>0</v>
      </c>
      <c r="N44" s="5">
        <f t="shared" si="5"/>
        <v>41000000</v>
      </c>
      <c r="O44" s="5">
        <f t="shared" si="5"/>
        <v>41000000</v>
      </c>
      <c r="P44" s="5">
        <f t="shared" si="5"/>
        <v>0</v>
      </c>
      <c r="Q44" s="5">
        <f t="shared" si="5"/>
        <v>0</v>
      </c>
      <c r="R44" s="5">
        <f t="shared" si="5"/>
        <v>2481850.86</v>
      </c>
      <c r="S44" s="5">
        <f t="shared" si="5"/>
        <v>2401800.27</v>
      </c>
      <c r="T44" s="5">
        <f t="shared" si="5"/>
        <v>80050.58999999997</v>
      </c>
      <c r="U44" s="5">
        <f t="shared" si="5"/>
        <v>41080050.589999996</v>
      </c>
      <c r="V44" s="5">
        <f aca="true" t="shared" si="6" ref="V44:AY44">V41+V42</f>
        <v>0</v>
      </c>
      <c r="W44" s="5">
        <f t="shared" si="6"/>
        <v>0</v>
      </c>
      <c r="X44" s="5">
        <f t="shared" si="6"/>
        <v>0</v>
      </c>
      <c r="Y44" s="5">
        <f t="shared" si="6"/>
        <v>0</v>
      </c>
      <c r="Z44" s="5">
        <f t="shared" si="6"/>
        <v>0</v>
      </c>
      <c r="AA44" s="5">
        <f t="shared" si="6"/>
        <v>0</v>
      </c>
      <c r="AB44" s="5">
        <f t="shared" si="6"/>
        <v>0</v>
      </c>
      <c r="AC44" s="5">
        <f t="shared" si="6"/>
        <v>0</v>
      </c>
      <c r="AD44" s="5">
        <f t="shared" si="6"/>
        <v>0</v>
      </c>
      <c r="AE44" s="5">
        <f t="shared" si="6"/>
        <v>0</v>
      </c>
      <c r="AF44" s="5">
        <f t="shared" si="6"/>
        <v>0</v>
      </c>
      <c r="AG44" s="5">
        <f t="shared" si="6"/>
        <v>0</v>
      </c>
      <c r="AH44" s="5">
        <f t="shared" si="6"/>
        <v>0</v>
      </c>
      <c r="AI44" s="5">
        <f t="shared" si="6"/>
        <v>0</v>
      </c>
      <c r="AJ44" s="5">
        <f t="shared" si="6"/>
        <v>0</v>
      </c>
      <c r="AK44" s="5">
        <f t="shared" si="6"/>
        <v>0</v>
      </c>
      <c r="AL44" s="5">
        <f t="shared" si="6"/>
        <v>0</v>
      </c>
      <c r="AM44" s="5">
        <f t="shared" si="6"/>
        <v>0</v>
      </c>
      <c r="AN44" s="5">
        <f t="shared" si="6"/>
        <v>0</v>
      </c>
      <c r="AO44" s="5">
        <f t="shared" si="6"/>
        <v>0</v>
      </c>
      <c r="AP44" s="5">
        <f t="shared" si="6"/>
        <v>0</v>
      </c>
      <c r="AQ44" s="5">
        <f t="shared" si="6"/>
        <v>0</v>
      </c>
      <c r="AR44" s="5">
        <f t="shared" si="6"/>
        <v>0</v>
      </c>
      <c r="AS44" s="5">
        <f t="shared" si="6"/>
        <v>0</v>
      </c>
      <c r="AT44" s="5">
        <f t="shared" si="6"/>
        <v>0</v>
      </c>
      <c r="AU44" s="5">
        <f t="shared" si="6"/>
        <v>0</v>
      </c>
      <c r="AV44" s="5">
        <f t="shared" si="6"/>
        <v>0</v>
      </c>
      <c r="AW44" s="5">
        <f t="shared" si="6"/>
        <v>0</v>
      </c>
      <c r="AX44" s="5">
        <f t="shared" si="6"/>
        <v>0</v>
      </c>
      <c r="AY44" s="5">
        <f t="shared" si="6"/>
        <v>0</v>
      </c>
    </row>
    <row r="45" spans="1:38" s="82" customFormat="1" ht="18" customHeight="1" thickBot="1">
      <c r="A45" s="100" t="s">
        <v>5</v>
      </c>
      <c r="B45" s="101" t="s">
        <v>22</v>
      </c>
      <c r="C45" s="101"/>
      <c r="D45" s="144"/>
      <c r="E45" s="144"/>
      <c r="F45" s="144"/>
      <c r="G45" s="144"/>
      <c r="H45" s="144"/>
      <c r="I45" s="144"/>
      <c r="J45" s="140"/>
      <c r="K45" s="140"/>
      <c r="L45" s="140"/>
      <c r="M45" s="140"/>
      <c r="N45" s="140"/>
      <c r="O45" s="140"/>
      <c r="P45" s="140"/>
      <c r="Q45" s="140"/>
      <c r="R45" s="140"/>
      <c r="S45" s="147"/>
      <c r="T45" s="140"/>
      <c r="U45" s="145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38" s="82" customFormat="1" ht="69.75" customHeight="1" hidden="1">
      <c r="A46" s="100"/>
      <c r="B46" s="102"/>
      <c r="C46" s="103"/>
      <c r="D46" s="103"/>
      <c r="E46" s="104"/>
      <c r="F46" s="103"/>
      <c r="G46" s="153"/>
      <c r="H46" s="46"/>
      <c r="I46" s="61"/>
      <c r="J46" s="61"/>
      <c r="K46" s="156"/>
      <c r="L46" s="156"/>
      <c r="M46" s="33"/>
      <c r="N46" s="61"/>
      <c r="O46" s="32"/>
      <c r="P46" s="21"/>
      <c r="Q46" s="21"/>
      <c r="R46" s="21"/>
      <c r="S46" s="146"/>
      <c r="T46" s="61"/>
      <c r="U46" s="61"/>
      <c r="V46" s="81"/>
      <c r="W46" s="105"/>
      <c r="X46" s="105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38" s="82" customFormat="1" ht="18" customHeight="1" thickBot="1">
      <c r="A47" s="106" t="s">
        <v>21</v>
      </c>
      <c r="B47" s="107"/>
      <c r="C47" s="108"/>
      <c r="D47" s="108"/>
      <c r="E47" s="109"/>
      <c r="F47" s="110"/>
      <c r="G47" s="110"/>
      <c r="H47" s="103"/>
      <c r="I47" s="34">
        <f>I46</f>
        <v>0</v>
      </c>
      <c r="J47" s="34">
        <f>J46</f>
        <v>0</v>
      </c>
      <c r="K47" s="34"/>
      <c r="L47" s="34"/>
      <c r="M47" s="34">
        <f>M46</f>
        <v>0</v>
      </c>
      <c r="N47" s="34">
        <f>N46</f>
        <v>0</v>
      </c>
      <c r="O47" s="34">
        <f>O46</f>
        <v>0</v>
      </c>
      <c r="P47" s="22">
        <v>3</v>
      </c>
      <c r="Q47" s="22">
        <v>0</v>
      </c>
      <c r="R47" s="22">
        <v>0</v>
      </c>
      <c r="S47" s="22">
        <v>0</v>
      </c>
      <c r="T47" s="34">
        <f>N47</f>
        <v>0</v>
      </c>
      <c r="U47" s="34">
        <f>T47</f>
        <v>0</v>
      </c>
      <c r="V47" s="81"/>
      <c r="W47" s="11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</row>
    <row r="48" spans="1:23" ht="16.5" customHeight="1" thickBot="1">
      <c r="A48" s="112"/>
      <c r="B48" s="20" t="s">
        <v>16</v>
      </c>
      <c r="C48" s="19"/>
      <c r="D48" s="19"/>
      <c r="E48" s="19"/>
      <c r="F48" s="99"/>
      <c r="G48" s="99"/>
      <c r="H48" s="113"/>
      <c r="I48" s="23">
        <f aca="true" t="shared" si="7" ref="I48:U48">I39+I44</f>
        <v>79604000</v>
      </c>
      <c r="J48" s="23">
        <f t="shared" si="7"/>
        <v>15000000</v>
      </c>
      <c r="K48" s="23">
        <f t="shared" si="7"/>
        <v>12166000</v>
      </c>
      <c r="L48" s="23">
        <f t="shared" si="7"/>
        <v>5214000</v>
      </c>
      <c r="M48" s="23">
        <f t="shared" si="7"/>
        <v>11620000</v>
      </c>
      <c r="N48" s="23">
        <f t="shared" si="7"/>
        <v>82984000</v>
      </c>
      <c r="O48" s="23">
        <f t="shared" si="7"/>
        <v>82984000</v>
      </c>
      <c r="P48" s="23">
        <f t="shared" si="7"/>
        <v>0</v>
      </c>
      <c r="Q48" s="23">
        <f t="shared" si="7"/>
        <v>0</v>
      </c>
      <c r="R48" s="23">
        <f t="shared" si="7"/>
        <v>2819194.73</v>
      </c>
      <c r="S48" s="23">
        <f t="shared" si="7"/>
        <v>2739144.14</v>
      </c>
      <c r="T48" s="23">
        <f t="shared" si="7"/>
        <v>80050.58999999997</v>
      </c>
      <c r="U48" s="23">
        <f t="shared" si="7"/>
        <v>83064050.59</v>
      </c>
      <c r="V48" s="25"/>
      <c r="W48" s="114"/>
    </row>
    <row r="49" spans="1:22" ht="16.5" customHeight="1">
      <c r="A49" s="25"/>
      <c r="B49" s="81"/>
      <c r="C49" s="10"/>
      <c r="D49" s="10"/>
      <c r="E49" s="10"/>
      <c r="F49" s="10"/>
      <c r="G49" s="10"/>
      <c r="H49" s="10"/>
      <c r="I49" s="24"/>
      <c r="J49" s="24"/>
      <c r="K49" s="24"/>
      <c r="L49" s="24"/>
      <c r="M49" s="24"/>
      <c r="N49" s="24"/>
      <c r="O49" s="24"/>
      <c r="P49" s="40"/>
      <c r="Q49" s="24"/>
      <c r="R49" s="24"/>
      <c r="S49" s="24"/>
      <c r="T49" s="24"/>
      <c r="U49" s="24"/>
      <c r="V49" s="25"/>
    </row>
    <row r="50" spans="1:22" ht="16.5" customHeight="1">
      <c r="A50" s="25"/>
      <c r="B50" s="10" t="s">
        <v>35</v>
      </c>
      <c r="C50" s="10"/>
      <c r="D50" s="10"/>
      <c r="E50" s="10"/>
      <c r="F50" s="10"/>
      <c r="G50" s="10"/>
      <c r="H50" s="10"/>
      <c r="I50" s="24" t="s">
        <v>39</v>
      </c>
      <c r="J50" s="24"/>
      <c r="K50" s="24"/>
      <c r="L50" s="24"/>
      <c r="M50" s="24"/>
      <c r="N50" s="24"/>
      <c r="O50" s="24"/>
      <c r="P50" s="40"/>
      <c r="Q50" s="24"/>
      <c r="R50" s="24"/>
      <c r="S50" s="40"/>
      <c r="T50" s="24"/>
      <c r="U50" s="24"/>
      <c r="V50" s="25"/>
    </row>
    <row r="51" spans="1:22" ht="16.5" customHeight="1">
      <c r="A51" s="2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24"/>
      <c r="T51" s="10"/>
      <c r="U51" s="10"/>
      <c r="V51" s="25"/>
    </row>
    <row r="52" spans="1:22" ht="15.75" customHeight="1">
      <c r="A52" s="25"/>
      <c r="B52" s="10" t="s">
        <v>27</v>
      </c>
      <c r="C52" s="10"/>
      <c r="D52" s="115"/>
      <c r="E52" s="116"/>
      <c r="F52" s="116"/>
      <c r="G52" s="116"/>
      <c r="H52" s="116"/>
      <c r="I52" s="35" t="s">
        <v>43</v>
      </c>
      <c r="J52" s="35"/>
      <c r="K52" s="35"/>
      <c r="L52" s="35"/>
      <c r="M52" s="35"/>
      <c r="N52" s="35"/>
      <c r="O52" s="35"/>
      <c r="P52" s="10"/>
      <c r="Q52" s="10"/>
      <c r="R52" s="10"/>
      <c r="S52" s="10"/>
      <c r="T52" s="10"/>
      <c r="U52" s="10"/>
      <c r="V52" s="25"/>
    </row>
    <row r="53" spans="1:22" ht="15.75" customHeight="1">
      <c r="A53" s="25"/>
      <c r="B53" s="10" t="s">
        <v>26</v>
      </c>
      <c r="C53" s="10"/>
      <c r="D53" s="115"/>
      <c r="E53" s="116"/>
      <c r="F53" s="116"/>
      <c r="G53" s="116"/>
      <c r="H53" s="116"/>
      <c r="I53" s="35"/>
      <c r="J53" s="35"/>
      <c r="K53" s="35"/>
      <c r="L53" s="35"/>
      <c r="M53" s="35"/>
      <c r="N53" s="117"/>
      <c r="O53" s="117"/>
      <c r="P53" s="10"/>
      <c r="Q53" s="10"/>
      <c r="R53" s="10"/>
      <c r="S53" s="10"/>
      <c r="T53" s="10"/>
      <c r="U53" s="10"/>
      <c r="V53" s="25"/>
    </row>
    <row r="54" spans="1:22" ht="12.75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0.75" customHeight="1">
      <c r="A55" s="25"/>
      <c r="B55" s="10"/>
      <c r="C55" s="10"/>
      <c r="D55" s="39"/>
      <c r="E55" s="10"/>
      <c r="F55" s="10"/>
      <c r="G55" s="10"/>
      <c r="H55" s="10"/>
      <c r="I55" s="118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14.25" customHeight="1" hidden="1">
      <c r="A56" s="25"/>
      <c r="B56" s="10"/>
      <c r="C56" s="10"/>
      <c r="D56" s="39"/>
      <c r="E56" s="10"/>
      <c r="F56" s="10"/>
      <c r="G56" s="10"/>
      <c r="H56" s="10"/>
      <c r="I56" s="36"/>
      <c r="J56" s="36"/>
      <c r="K56" s="36"/>
      <c r="L56" s="36"/>
      <c r="M56" s="36"/>
      <c r="N56" s="36"/>
      <c r="O56" s="36"/>
      <c r="P56" s="10"/>
      <c r="Q56" s="10"/>
      <c r="R56" s="10"/>
      <c r="S56" s="10"/>
      <c r="T56" s="10"/>
      <c r="U56" s="10"/>
      <c r="V56" s="25"/>
    </row>
    <row r="57" spans="1:22" ht="13.5" customHeight="1" hidden="1">
      <c r="A57" s="25"/>
      <c r="B57" s="10"/>
      <c r="C57" s="10"/>
      <c r="D57" s="10"/>
      <c r="E57" s="10"/>
      <c r="F57" s="10"/>
      <c r="G57" s="10"/>
      <c r="H57" s="10"/>
      <c r="I57" s="37"/>
      <c r="J57" s="37"/>
      <c r="K57" s="37"/>
      <c r="L57" s="37"/>
      <c r="M57" s="37"/>
      <c r="N57" s="37"/>
      <c r="O57" s="37"/>
      <c r="P57" s="10"/>
      <c r="Q57" s="10"/>
      <c r="R57" s="10"/>
      <c r="S57" s="10"/>
      <c r="T57" s="10"/>
      <c r="U57" s="10"/>
      <c r="V57" s="25"/>
    </row>
    <row r="58" spans="2:21" s="25" customFormat="1" ht="12.75" customHeight="1">
      <c r="B58" s="10" t="s">
        <v>14</v>
      </c>
      <c r="C58" s="39"/>
      <c r="D58" s="119"/>
      <c r="E58" s="120"/>
      <c r="F58" s="10"/>
      <c r="G58" s="10"/>
      <c r="H58" s="10"/>
      <c r="I58" s="37"/>
      <c r="J58" s="37"/>
      <c r="K58" s="37"/>
      <c r="L58" s="37"/>
      <c r="M58" s="37"/>
      <c r="N58" s="37"/>
      <c r="O58" s="37"/>
      <c r="P58" s="10"/>
      <c r="Q58" s="10"/>
      <c r="R58" s="10"/>
      <c r="S58" s="10"/>
      <c r="T58" s="10"/>
      <c r="U58" s="10"/>
    </row>
    <row r="59" spans="1:21" s="25" customFormat="1" ht="9.75" customHeight="1">
      <c r="A59" s="121"/>
      <c r="B59" s="122" t="s">
        <v>20</v>
      </c>
      <c r="C59" s="10"/>
      <c r="D59" s="10"/>
      <c r="E59" s="123"/>
      <c r="F59" s="123"/>
      <c r="G59" s="123"/>
      <c r="H59" s="124"/>
      <c r="I59" s="38"/>
      <c r="J59" s="38"/>
      <c r="K59" s="38"/>
      <c r="L59" s="38"/>
      <c r="M59" s="38"/>
      <c r="N59" s="38"/>
      <c r="O59" s="38"/>
      <c r="P59" s="10"/>
      <c r="Q59" s="10"/>
      <c r="R59" s="10"/>
      <c r="S59" s="10"/>
      <c r="T59" s="10"/>
      <c r="U59" s="10"/>
    </row>
    <row r="60" spans="2:21" s="25" customFormat="1" ht="12.75">
      <c r="B60" s="39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38"/>
      <c r="G63" s="38"/>
      <c r="H63" s="38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125"/>
      <c r="G64" s="125"/>
      <c r="H64" s="125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1:21" s="25" customFormat="1" ht="17.25">
      <c r="A65" s="121"/>
      <c r="B65" s="121"/>
      <c r="C65" s="126"/>
      <c r="D65" s="126"/>
      <c r="E65" s="126"/>
      <c r="F65" s="126"/>
      <c r="G65" s="126"/>
      <c r="H65" s="126"/>
      <c r="I65" s="39"/>
      <c r="J65" s="39"/>
      <c r="K65" s="39"/>
      <c r="L65" s="39"/>
      <c r="M65" s="39"/>
      <c r="N65" s="39"/>
      <c r="O65" s="39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38"/>
      <c r="F68" s="38"/>
      <c r="G68" s="38"/>
      <c r="H68" s="3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1:21" s="25" customFormat="1" ht="17.25">
      <c r="A69" s="127"/>
      <c r="B69" s="10"/>
      <c r="C69" s="10"/>
      <c r="D69" s="10"/>
      <c r="E69" s="124"/>
      <c r="F69" s="124"/>
      <c r="G69" s="124"/>
      <c r="H69" s="124"/>
      <c r="I69" s="38"/>
      <c r="J69" s="38"/>
      <c r="K69" s="38"/>
      <c r="L69" s="38"/>
      <c r="M69" s="38"/>
      <c r="N69" s="38"/>
      <c r="O69" s="38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15"/>
      <c r="E72" s="116"/>
      <c r="F72" s="128"/>
      <c r="G72" s="128"/>
      <c r="H72" s="128"/>
      <c r="I72" s="35"/>
      <c r="J72" s="35"/>
      <c r="K72" s="35"/>
      <c r="L72" s="35"/>
      <c r="M72" s="35"/>
      <c r="N72" s="35"/>
      <c r="O72" s="35"/>
      <c r="P72" s="10"/>
      <c r="Q72" s="10"/>
      <c r="R72" s="10"/>
      <c r="S72" s="10"/>
      <c r="T72" s="10"/>
      <c r="U72" s="10"/>
    </row>
    <row r="73" spans="1:21" s="25" customFormat="1" ht="17.25">
      <c r="A73" s="121"/>
      <c r="B73" s="121"/>
      <c r="C73" s="121"/>
      <c r="D73" s="121"/>
      <c r="E73" s="121"/>
      <c r="F73" s="121"/>
      <c r="G73" s="121"/>
      <c r="H73" s="129"/>
      <c r="I73" s="13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115"/>
      <c r="E75" s="116"/>
      <c r="F75" s="116"/>
      <c r="G75" s="116"/>
      <c r="H75" s="116"/>
      <c r="I75" s="35"/>
      <c r="J75" s="35"/>
      <c r="K75" s="35"/>
      <c r="L75" s="35"/>
      <c r="M75" s="35"/>
      <c r="N75" s="117"/>
      <c r="O75" s="117"/>
      <c r="P75" s="10"/>
      <c r="Q75" s="10"/>
      <c r="R75" s="10"/>
      <c r="S75" s="10"/>
      <c r="T75" s="10"/>
      <c r="U75" s="10"/>
    </row>
    <row r="76" spans="2:21" s="25" customFormat="1" ht="12.75">
      <c r="B76" s="10"/>
      <c r="C76" s="10"/>
      <c r="D76" s="39"/>
      <c r="E76" s="10"/>
      <c r="F76" s="10"/>
      <c r="G76" s="10"/>
      <c r="H76" s="10"/>
      <c r="I76" s="36"/>
      <c r="J76" s="36"/>
      <c r="K76" s="36"/>
      <c r="L76" s="36"/>
      <c r="M76" s="36"/>
      <c r="N76" s="36"/>
      <c r="O76" s="36"/>
      <c r="P76" s="10"/>
      <c r="Q76" s="10"/>
      <c r="R76" s="10"/>
      <c r="T76" s="10"/>
      <c r="U76" s="10"/>
    </row>
    <row r="77" s="25" customFormat="1" ht="12.75">
      <c r="S77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8"/>
  <sheetViews>
    <sheetView zoomScalePageLayoutView="0" workbookViewId="0" topLeftCell="A40">
      <selection activeCell="I44" sqref="I44"/>
    </sheetView>
  </sheetViews>
  <sheetFormatPr defaultColWidth="9.125" defaultRowHeight="12.75"/>
  <cols>
    <col min="1" max="1" width="3.625" style="8" customWidth="1"/>
    <col min="2" max="2" width="7.50390625" style="8" customWidth="1"/>
    <col min="3" max="3" width="15.5039062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375" style="8" customWidth="1"/>
    <col min="9" max="9" width="16.50390625" style="8" customWidth="1"/>
    <col min="10" max="10" width="15.625" style="8" customWidth="1"/>
    <col min="11" max="12" width="13.125" style="8" hidden="1" customWidth="1"/>
    <col min="13" max="13" width="14.50390625" style="8" customWidth="1"/>
    <col min="14" max="14" width="17.50390625" style="8" customWidth="1"/>
    <col min="15" max="15" width="18.00390625" style="8" customWidth="1"/>
    <col min="16" max="16" width="6.50390625" style="8" customWidth="1"/>
    <col min="17" max="17" width="14.00390625" style="8" customWidth="1"/>
    <col min="18" max="18" width="13.50390625" style="8" customWidth="1"/>
    <col min="19" max="20" width="14.125" style="8" customWidth="1"/>
    <col min="21" max="21" width="17.00390625" style="8" customWidth="1"/>
    <col min="22" max="22" width="2.50390625" style="8" hidden="1" customWidth="1"/>
    <col min="23" max="23" width="15.125" style="8" hidden="1" customWidth="1"/>
    <col min="24" max="24" width="12.875" style="8" hidden="1" customWidth="1"/>
    <col min="25" max="25" width="11.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125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126</v>
      </c>
      <c r="K8" s="11" t="s">
        <v>70</v>
      </c>
      <c r="L8" s="11" t="s">
        <v>71</v>
      </c>
      <c r="M8" s="11" t="s">
        <v>127</v>
      </c>
      <c r="N8" s="11" t="s">
        <v>124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8">N23</f>
        <v>0</v>
      </c>
      <c r="P23" s="7"/>
      <c r="Q23" s="7"/>
      <c r="R23" s="5"/>
      <c r="S23" s="7"/>
      <c r="T23" s="6">
        <f aca="true" t="shared" si="1" ref="T23:T38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1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>
        <v>-1560000</v>
      </c>
      <c r="K30" s="134">
        <v>4158000</v>
      </c>
      <c r="L30" s="134">
        <v>1782000</v>
      </c>
      <c r="M30" s="135">
        <f>785000+785000+785000+785000+780000</f>
        <v>3920000</v>
      </c>
      <c r="N30" s="52">
        <f aca="true" t="shared" si="2" ref="N30:N38">I30+J30-M30</f>
        <v>0</v>
      </c>
      <c r="O30" s="149">
        <f t="shared" si="0"/>
        <v>0</v>
      </c>
      <c r="P30" s="136"/>
      <c r="Q30" s="136"/>
      <c r="R30" s="150">
        <f>11244.19+8136.45+7466.64+5356.72+4250.3+1103.98</f>
        <v>37558.280000000006</v>
      </c>
      <c r="S30" s="150">
        <f>11244.19+8136.45+7466.64+5356.72+4250.3+1103.98</f>
        <v>37558.280000000006</v>
      </c>
      <c r="T30" s="32">
        <f t="shared" si="1"/>
        <v>0</v>
      </c>
      <c r="U30" s="48">
        <f aca="true" t="shared" si="3" ref="U30:U38">O30+T30</f>
        <v>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2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>
        <v>-3500000</v>
      </c>
      <c r="K31" s="134"/>
      <c r="L31" s="134"/>
      <c r="M31" s="135">
        <f>500000+500000+500000+500000+500000</f>
        <v>2500000</v>
      </c>
      <c r="N31" s="52">
        <f t="shared" si="2"/>
        <v>0</v>
      </c>
      <c r="O31" s="149">
        <f t="shared" si="0"/>
        <v>0</v>
      </c>
      <c r="P31" s="136"/>
      <c r="Q31" s="136"/>
      <c r="R31" s="150">
        <f>12667.32+10155.08+10261.23+8739.74+8208.96+2476.84</f>
        <v>52509.17</v>
      </c>
      <c r="S31" s="150">
        <f>12667.32+10155.08+10261.23+8739.74+8208.96+2476.84</f>
        <v>52509.17</v>
      </c>
      <c r="T31" s="32">
        <f t="shared" si="1"/>
        <v>0</v>
      </c>
      <c r="U31" s="48">
        <f>O31+T31</f>
        <v>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3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>
        <v>9751.16</v>
      </c>
      <c r="S32" s="137">
        <v>9751.16</v>
      </c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4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>
        <v>-4998000</v>
      </c>
      <c r="K33" s="134">
        <v>5497800</v>
      </c>
      <c r="L33" s="134">
        <v>2356200</v>
      </c>
      <c r="M33" s="135">
        <f>714000+714000+714000+714000+714000</f>
        <v>3570000</v>
      </c>
      <c r="N33" s="52">
        <f t="shared" si="2"/>
        <v>3578000</v>
      </c>
      <c r="O33" s="149">
        <f t="shared" si="0"/>
        <v>3578000</v>
      </c>
      <c r="P33" s="136"/>
      <c r="Q33" s="136"/>
      <c r="R33" s="150">
        <v>120699.3</v>
      </c>
      <c r="S33" s="137">
        <v>120699.3</v>
      </c>
      <c r="T33" s="32">
        <f t="shared" si="1"/>
        <v>0</v>
      </c>
      <c r="U33" s="48">
        <f t="shared" si="3"/>
        <v>3578000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5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>
        <v>-322000</v>
      </c>
      <c r="K34" s="134">
        <v>354200</v>
      </c>
      <c r="L34" s="134">
        <v>151800</v>
      </c>
      <c r="M34" s="135">
        <f>46000+46000+46000+46000+46000</f>
        <v>230000</v>
      </c>
      <c r="N34" s="52">
        <f t="shared" si="2"/>
        <v>342000</v>
      </c>
      <c r="O34" s="149">
        <f t="shared" si="0"/>
        <v>342000</v>
      </c>
      <c r="P34" s="136"/>
      <c r="Q34" s="136"/>
      <c r="R34" s="150">
        <v>9216.85</v>
      </c>
      <c r="S34" s="137">
        <v>9216.85</v>
      </c>
      <c r="T34" s="32">
        <f t="shared" si="1"/>
        <v>0</v>
      </c>
      <c r="U34" s="48">
        <f>O34+T34</f>
        <v>342000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6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>
        <v>-1960000</v>
      </c>
      <c r="K35" s="134">
        <v>2156000</v>
      </c>
      <c r="L35" s="134">
        <v>924000</v>
      </c>
      <c r="M35" s="135">
        <f>280000+280000+280000+280000+280000</f>
        <v>1400000</v>
      </c>
      <c r="N35" s="52">
        <f t="shared" si="2"/>
        <v>3560000</v>
      </c>
      <c r="O35" s="149">
        <f t="shared" si="0"/>
        <v>3560000</v>
      </c>
      <c r="P35" s="155" t="s">
        <v>61</v>
      </c>
      <c r="Q35" s="136"/>
      <c r="R35" s="150">
        <v>74990.43</v>
      </c>
      <c r="S35" s="137">
        <v>74990.43</v>
      </c>
      <c r="T35" s="32">
        <f t="shared" si="1"/>
        <v>0</v>
      </c>
      <c r="U35" s="48">
        <f t="shared" si="3"/>
        <v>3560000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7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>
        <v>31942.52</v>
      </c>
      <c r="S37" s="137">
        <v>31942.52</v>
      </c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66.75" customHeight="1">
      <c r="A38" s="50">
        <v>8</v>
      </c>
      <c r="B38" s="42" t="s">
        <v>15</v>
      </c>
      <c r="C38" s="51" t="s">
        <v>103</v>
      </c>
      <c r="D38" s="51" t="s">
        <v>34</v>
      </c>
      <c r="E38" s="44">
        <v>0</v>
      </c>
      <c r="F38" s="45" t="s">
        <v>104</v>
      </c>
      <c r="G38" s="45"/>
      <c r="H38" s="46" t="s">
        <v>28</v>
      </c>
      <c r="I38" s="135">
        <v>0</v>
      </c>
      <c r="J38" s="134">
        <v>12340000</v>
      </c>
      <c r="K38" s="134"/>
      <c r="L38" s="134"/>
      <c r="M38" s="135">
        <v>0</v>
      </c>
      <c r="N38" s="149">
        <f t="shared" si="2"/>
        <v>12340000</v>
      </c>
      <c r="O38" s="149">
        <f t="shared" si="0"/>
        <v>12340000</v>
      </c>
      <c r="P38" s="155"/>
      <c r="Q38" s="136"/>
      <c r="R38" s="150">
        <v>676.16</v>
      </c>
      <c r="S38" s="137">
        <v>676.16</v>
      </c>
      <c r="T38" s="32">
        <f t="shared" si="1"/>
        <v>0</v>
      </c>
      <c r="U38" s="48">
        <f t="shared" si="3"/>
        <v>12340000</v>
      </c>
      <c r="V38" s="49"/>
      <c r="W38" s="49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51" ht="15.75" customHeight="1" thickBot="1">
      <c r="A39" s="94" t="s">
        <v>21</v>
      </c>
      <c r="B39" s="18"/>
      <c r="C39" s="18"/>
      <c r="D39" s="95"/>
      <c r="E39" s="96"/>
      <c r="F39" s="97"/>
      <c r="G39" s="97"/>
      <c r="H39" s="97"/>
      <c r="I39" s="133">
        <f>SUM(I23:I38)</f>
        <v>53604000</v>
      </c>
      <c r="J39" s="133">
        <f>SUM(J23:J38)</f>
        <v>0</v>
      </c>
      <c r="K39" s="133">
        <f>SUM(K23:K37)</f>
        <v>12166000</v>
      </c>
      <c r="L39" s="133">
        <f>SUM(L23:L37)</f>
        <v>5214000</v>
      </c>
      <c r="M39" s="133">
        <f>SUM(M23:M38)</f>
        <v>11620000</v>
      </c>
      <c r="N39" s="133">
        <f>SUM(N23:N38)</f>
        <v>41984000</v>
      </c>
      <c r="O39" s="133">
        <f>SUM(O23:O38)</f>
        <v>41984000</v>
      </c>
      <c r="P39" s="133">
        <f aca="true" t="shared" si="4" ref="P39:U39">SUM(P23:P38)</f>
        <v>0</v>
      </c>
      <c r="Q39" s="133">
        <f t="shared" si="4"/>
        <v>0</v>
      </c>
      <c r="R39" s="133">
        <f t="shared" si="4"/>
        <v>337343.87000000005</v>
      </c>
      <c r="S39" s="133">
        <f t="shared" si="4"/>
        <v>337343.87000000005</v>
      </c>
      <c r="T39" s="133">
        <f t="shared" si="4"/>
        <v>0</v>
      </c>
      <c r="U39" s="133">
        <f t="shared" si="4"/>
        <v>41984000</v>
      </c>
      <c r="V39" s="133" t="e">
        <f>#REF!+#REF!+#REF!+#REF!+V23+V24+#REF!+#REF!+#REF!+#REF!+V27+#REF!+V28+V29+V30+V31+V25+V26+V32+V33+V34+V35</f>
        <v>#REF!</v>
      </c>
      <c r="W39" s="133" t="e">
        <f>#REF!+#REF!+#REF!+#REF!+W23+W24+#REF!+#REF!+#REF!+#REF!+W27+#REF!+W28+W29+W30+W31+W25+W26+W32+W33+W34+W35</f>
        <v>#REF!</v>
      </c>
      <c r="X39" s="133" t="e">
        <f>#REF!+#REF!+#REF!+#REF!+X23+X24+#REF!+#REF!+#REF!+#REF!+X27+#REF!+X28+X29+X30+X31+X25+X26+X32+X33+X34+X35</f>
        <v>#REF!</v>
      </c>
      <c r="Y39" s="133" t="e">
        <f>#REF!+#REF!+#REF!+#REF!+Y23+Y24+#REF!+#REF!+#REF!+#REF!+Y27+#REF!+Y28+Y29+Y30+Y31+Y25+Y26+Y32+Y33+Y34+Y35</f>
        <v>#REF!</v>
      </c>
      <c r="Z39" s="133" t="e">
        <f>#REF!+#REF!+#REF!+#REF!+Z23+Z24+#REF!+#REF!+#REF!+#REF!+Z27+#REF!+Z28+Z29+Z30+Z31+Z25+Z26+Z32+Z33+Z34+Z35</f>
        <v>#REF!</v>
      </c>
      <c r="AA39" s="133" t="e">
        <f>#REF!+#REF!+#REF!+#REF!+AA23+AA24+#REF!+#REF!+#REF!+#REF!+AA27+#REF!+AA28+AA29+AA30+AA31+AA25+AA26+AA32+AA33+AA34+AA35</f>
        <v>#REF!</v>
      </c>
      <c r="AB39" s="133" t="e">
        <f>#REF!+#REF!+#REF!+#REF!+AB23+AB24+#REF!+#REF!+#REF!+#REF!+AB27+#REF!+AB28+AB29+AB30+AB31+AB25+AB26+AB32+AB33+AB34+AB35</f>
        <v>#REF!</v>
      </c>
      <c r="AC39" s="133" t="e">
        <f>#REF!+#REF!+#REF!+#REF!+AC23+AC24+#REF!+#REF!+#REF!+#REF!+AC27+#REF!+AC28+AC29+AC30+AC31+AC25+AC26+AC32+AC33+AC34+AC35</f>
        <v>#REF!</v>
      </c>
      <c r="AD39" s="133" t="e">
        <f>#REF!+#REF!+#REF!+#REF!+AD23+AD24+#REF!+#REF!+#REF!+#REF!+AD27+#REF!+AD28+AD29+AD30+AD31+AD25+AD26+AD32+AD33+AD34+AD35</f>
        <v>#REF!</v>
      </c>
      <c r="AE39" s="133" t="e">
        <f>#REF!+#REF!+#REF!+#REF!+AE23+AE24+#REF!+#REF!+#REF!+#REF!+AE27+#REF!+AE28+AE29+AE30+AE31+AE25+AE26+AE32+AE33+AE34+AE35</f>
        <v>#REF!</v>
      </c>
      <c r="AF39" s="133" t="e">
        <f>#REF!+#REF!+#REF!+#REF!+AF23+AF24+#REF!+#REF!+#REF!+#REF!+AF27+#REF!+AF28+AF29+AF30+AF31+AF25+AF26+AF32+AF33+AF34+AF35</f>
        <v>#REF!</v>
      </c>
      <c r="AG39" s="133" t="e">
        <f>#REF!+#REF!+#REF!+#REF!+AG23+AG24+#REF!+#REF!+#REF!+#REF!+AG27+#REF!+AG28+AG29+AG30+AG31+AG25+AG26+AG32+AG33+AG34+AG35</f>
        <v>#REF!</v>
      </c>
      <c r="AH39" s="133" t="e">
        <f>#REF!+#REF!+#REF!+#REF!+AH23+AH24+#REF!+#REF!+#REF!+#REF!+AH27+#REF!+AH28+AH29+AH30+AH31+AH25+AH26+AH32+AH33+AH34+AH35</f>
        <v>#REF!</v>
      </c>
      <c r="AI39" s="133" t="e">
        <f>#REF!+#REF!+#REF!+#REF!+AI23+AI24+#REF!+#REF!+#REF!+#REF!+AI27+#REF!+AI28+AI29+AI30+AI31+AI25+AI26+AI32+AI33+AI34+AI35</f>
        <v>#REF!</v>
      </c>
      <c r="AJ39" s="133" t="e">
        <f>#REF!+#REF!+#REF!+#REF!+AJ23+AJ24+#REF!+#REF!+#REF!+#REF!+AJ27+#REF!+AJ28+AJ29+AJ30+AJ31+AJ25+AJ26+AJ32+AJ33+AJ34+AJ35</f>
        <v>#REF!</v>
      </c>
      <c r="AK39" s="133" t="e">
        <f>#REF!+#REF!+#REF!+#REF!+AK23+AK24+#REF!+#REF!+#REF!+#REF!+AK27+#REF!+AK28+AK29+AK30+AK31+AK25+AK26+AK32+AK33+AK34+AK35</f>
        <v>#REF!</v>
      </c>
      <c r="AL39" s="133" t="e">
        <f>#REF!+#REF!+#REF!+#REF!+AL23+AL24+#REF!+#REF!+#REF!+#REF!+AL27+#REF!+AL28+AL29+AL30+AL31+AL25+AL26+AL32+AL33+AL34+AL35</f>
        <v>#REF!</v>
      </c>
      <c r="AM39" s="133" t="e">
        <f>#REF!+#REF!+#REF!+#REF!+AM23+AM24+#REF!+#REF!+#REF!+#REF!+AM27+#REF!+AM28+AM29+AM30+AM31+AM25+AM26+AM32+AM33+AM34+AM35</f>
        <v>#REF!</v>
      </c>
      <c r="AN39" s="133" t="e">
        <f>#REF!+#REF!+#REF!+#REF!+AN23+AN24+#REF!+#REF!+#REF!+#REF!+AN27+#REF!+AN28+AN29+AN30+AN31+AN25+AN26+AN32+AN33+AN34+AN35</f>
        <v>#REF!</v>
      </c>
      <c r="AO39" s="133" t="e">
        <f>#REF!+#REF!+#REF!+#REF!+AO23+AO24+#REF!+#REF!+#REF!+#REF!+AO27+#REF!+AO28+AO29+AO30+AO31+AO25+AO26+AO32+AO33+AO34+AO35</f>
        <v>#REF!</v>
      </c>
      <c r="AP39" s="133" t="e">
        <f>#REF!+#REF!+#REF!+#REF!+AP23+AP24+#REF!+#REF!+#REF!+#REF!+AP27+#REF!+AP28+AP29+AP30+AP31+AP25+AP26+AP32+AP33+AP34+AP35</f>
        <v>#REF!</v>
      </c>
      <c r="AQ39" s="133" t="e">
        <f>#REF!+#REF!+#REF!+#REF!+AQ23+AQ24+#REF!+#REF!+#REF!+#REF!+AQ27+#REF!+AQ28+AQ29+AQ30+AQ31+AQ25+AQ26+AQ32+AQ33+AQ34+AQ35</f>
        <v>#REF!</v>
      </c>
      <c r="AR39" s="133" t="e">
        <f>#REF!+#REF!+#REF!+#REF!+AR23+AR24+#REF!+#REF!+#REF!+#REF!+AR27+#REF!+AR28+AR29+AR30+AR31+AR25+AR26+AR32+AR33+AR34+AR35</f>
        <v>#REF!</v>
      </c>
      <c r="AS39" s="133" t="e">
        <f>#REF!+#REF!+#REF!+#REF!+AS23+AS24+#REF!+#REF!+#REF!+#REF!+AS27+#REF!+AS28+AS29+AS30+AS31+AS25+AS26+AS32+AS33+AS34+AS35</f>
        <v>#REF!</v>
      </c>
      <c r="AT39" s="133" t="e">
        <f>#REF!+#REF!+#REF!+#REF!+AT23+AT24+#REF!+#REF!+#REF!+#REF!+AT27+#REF!+AT28+AT29+AT30+AT31+AT25+AT26+AT32+AT33+AT34+AT35</f>
        <v>#REF!</v>
      </c>
      <c r="AU39" s="133" t="e">
        <f>#REF!+#REF!+#REF!+#REF!+AU23+AU24+#REF!+#REF!+#REF!+#REF!+AU27+#REF!+AU28+AU29+AU30+AU31+AU25+AU26+AU32+AU33+AU34+AU35</f>
        <v>#REF!</v>
      </c>
      <c r="AV39" s="133" t="e">
        <f>#REF!+#REF!+#REF!+#REF!+AV23+AV24+#REF!+#REF!+#REF!+#REF!+AV27+#REF!+AV28+AV29+AV30+AV31+AV25+AV26+AV32+AV33+AV34+AV35</f>
        <v>#REF!</v>
      </c>
      <c r="AW39" s="133" t="e">
        <f>#REF!+#REF!+#REF!+#REF!+AW23+AW24+#REF!+#REF!+#REF!+#REF!+AW27+#REF!+AW28+AW29+AW30+AW31+AW25+AW26+AW32+AW33+AW34+AW35</f>
        <v>#REF!</v>
      </c>
      <c r="AX39" s="133" t="e">
        <f>#REF!+#REF!+#REF!+#REF!+AX23+AX24+#REF!+#REF!+#REF!+#REF!+AX27+#REF!+AX28+AX29+AX30+AX31+AX25+AX26+AX32+AX33+AX34+AX35</f>
        <v>#REF!</v>
      </c>
      <c r="AY39" s="133" t="e">
        <f>#REF!+#REF!+#REF!+#REF!+AY23+AY24+#REF!+#REF!+#REF!+#REF!+AY27+#REF!+AY28+AY29+AY30+AY31+AY25+AY26+AY32+AY33+AY34+AY35</f>
        <v>#REF!</v>
      </c>
    </row>
    <row r="40" spans="1:22" ht="16.5" customHeight="1" thickBot="1">
      <c r="A40" s="138" t="s">
        <v>19</v>
      </c>
      <c r="B40" s="139" t="s">
        <v>23</v>
      </c>
      <c r="C40" s="139"/>
      <c r="D40" s="139"/>
      <c r="E40" s="139"/>
      <c r="F40" s="139"/>
      <c r="G40" s="139"/>
      <c r="H40" s="20"/>
      <c r="I40" s="10"/>
      <c r="J40" s="10"/>
      <c r="K40" s="10"/>
      <c r="L40" s="10"/>
      <c r="M40" s="10"/>
      <c r="N40" s="10"/>
      <c r="O40" s="98"/>
      <c r="P40" s="10"/>
      <c r="Q40" s="10"/>
      <c r="R40" s="10"/>
      <c r="S40" s="142"/>
      <c r="T40" s="10"/>
      <c r="U40" s="143"/>
      <c r="V40" s="25"/>
    </row>
    <row r="41" spans="1:22" ht="69" customHeight="1">
      <c r="A41" s="148">
        <v>1</v>
      </c>
      <c r="B41" s="42" t="s">
        <v>23</v>
      </c>
      <c r="C41" s="141" t="s">
        <v>63</v>
      </c>
      <c r="D41" s="131" t="s">
        <v>64</v>
      </c>
      <c r="E41" s="17">
        <v>100000000</v>
      </c>
      <c r="F41" s="151" t="s">
        <v>65</v>
      </c>
      <c r="G41" s="154" t="s">
        <v>62</v>
      </c>
      <c r="H41" s="132" t="s">
        <v>28</v>
      </c>
      <c r="I41" s="152">
        <v>10000000</v>
      </c>
      <c r="J41" s="152">
        <v>0</v>
      </c>
      <c r="K41" s="152"/>
      <c r="L41" s="152"/>
      <c r="M41" s="152">
        <v>0</v>
      </c>
      <c r="N41" s="6">
        <f>I41+J41-M41</f>
        <v>10000000</v>
      </c>
      <c r="O41" s="6">
        <f>N41</f>
        <v>10000000</v>
      </c>
      <c r="P41" s="3"/>
      <c r="Q41" s="3"/>
      <c r="R41" s="3">
        <f>80050.6+72303.77+80050.59+77468.32+80050.59+77468.32+80050.6+80050.59+77468.32+80050.59+77468.32</f>
        <v>862480.6099999999</v>
      </c>
      <c r="S41" s="3">
        <f>80050.6+72303.77+80050.59+77468.32+80050.59+77468.32+80050.6+80050.59+77468.32+80050.59</f>
        <v>785012.2899999999</v>
      </c>
      <c r="T41" s="6">
        <f>Q41+R41-S41</f>
        <v>77468.31999999995</v>
      </c>
      <c r="U41" s="6">
        <f>N41+Q41+R41-S41</f>
        <v>10077468.32</v>
      </c>
      <c r="V41" s="25"/>
    </row>
    <row r="42" spans="1:22" ht="69" customHeight="1">
      <c r="A42" s="148">
        <v>1</v>
      </c>
      <c r="B42" s="42" t="s">
        <v>23</v>
      </c>
      <c r="C42" s="141" t="s">
        <v>134</v>
      </c>
      <c r="D42" s="131" t="s">
        <v>64</v>
      </c>
      <c r="E42" s="17">
        <v>50000000</v>
      </c>
      <c r="F42" s="151" t="s">
        <v>128</v>
      </c>
      <c r="G42" s="154" t="s">
        <v>62</v>
      </c>
      <c r="H42" s="132" t="s">
        <v>28</v>
      </c>
      <c r="I42" s="152">
        <v>0</v>
      </c>
      <c r="J42" s="152">
        <v>5600000</v>
      </c>
      <c r="K42" s="152"/>
      <c r="L42" s="152"/>
      <c r="M42" s="152">
        <v>0</v>
      </c>
      <c r="N42" s="6">
        <f>I42+J42-M42</f>
        <v>5600000</v>
      </c>
      <c r="O42" s="6">
        <f>N42</f>
        <v>5600000</v>
      </c>
      <c r="P42" s="3"/>
      <c r="Q42" s="3"/>
      <c r="R42" s="3">
        <v>2884.38</v>
      </c>
      <c r="S42" s="3">
        <v>2884.38</v>
      </c>
      <c r="T42" s="6">
        <f>Q42+R42-S42</f>
        <v>0</v>
      </c>
      <c r="U42" s="6">
        <f>N42+Q42+R42-S42</f>
        <v>5600000</v>
      </c>
      <c r="V42" s="25"/>
    </row>
    <row r="43" spans="1:22" ht="69" customHeight="1">
      <c r="A43" s="148">
        <v>2</v>
      </c>
      <c r="B43" s="131" t="s">
        <v>23</v>
      </c>
      <c r="C43" s="157" t="s">
        <v>74</v>
      </c>
      <c r="D43" s="131" t="s">
        <v>41</v>
      </c>
      <c r="E43" s="17">
        <v>160000000</v>
      </c>
      <c r="F43" s="151" t="s">
        <v>76</v>
      </c>
      <c r="G43" s="154" t="s">
        <v>75</v>
      </c>
      <c r="H43" s="132" t="s">
        <v>28</v>
      </c>
      <c r="I43" s="152">
        <v>16000000</v>
      </c>
      <c r="J43" s="152">
        <v>0</v>
      </c>
      <c r="K43" s="152"/>
      <c r="L43" s="152"/>
      <c r="M43" s="152">
        <v>0</v>
      </c>
      <c r="N43" s="6">
        <f>I43+J43-M43</f>
        <v>16000000</v>
      </c>
      <c r="O43" s="6">
        <f>N43</f>
        <v>16000000</v>
      </c>
      <c r="P43" s="3"/>
      <c r="Q43" s="3"/>
      <c r="R43" s="3">
        <f>132282.52+119480.99+132282.52+128015.34+132282.52+128015.34+132282.52+132282.52+128015.34+132282.52+128015.34</f>
        <v>1425237.4700000002</v>
      </c>
      <c r="S43" s="3">
        <f>132282.52+119480.99+132282.52+128015.34+132282.52+128015.34+132282.52+132282.52+128015.34+132282.52+128015.34</f>
        <v>1425237.4700000002</v>
      </c>
      <c r="T43" s="6">
        <f>Q43+R43-S43</f>
        <v>0</v>
      </c>
      <c r="U43" s="6">
        <f>N43+Q43+R43-S43</f>
        <v>15999999.999999998</v>
      </c>
      <c r="V43" s="25"/>
    </row>
    <row r="44" spans="1:22" ht="69" customHeight="1">
      <c r="A44" s="158">
        <v>3</v>
      </c>
      <c r="B44" s="131" t="s">
        <v>23</v>
      </c>
      <c r="C44" s="157" t="s">
        <v>109</v>
      </c>
      <c r="D44" s="131" t="s">
        <v>110</v>
      </c>
      <c r="E44" s="17">
        <v>15000000</v>
      </c>
      <c r="F44" s="151" t="s">
        <v>111</v>
      </c>
      <c r="G44" s="154" t="s">
        <v>112</v>
      </c>
      <c r="H44" s="132" t="s">
        <v>28</v>
      </c>
      <c r="I44" s="152">
        <v>0</v>
      </c>
      <c r="J44" s="152">
        <v>15000000</v>
      </c>
      <c r="K44" s="152"/>
      <c r="L44" s="152"/>
      <c r="M44" s="152">
        <v>0</v>
      </c>
      <c r="N44" s="6">
        <f>I44+J44-M44</f>
        <v>15000000</v>
      </c>
      <c r="O44" s="6">
        <f>N44</f>
        <v>15000000</v>
      </c>
      <c r="P44" s="3"/>
      <c r="Q44" s="3"/>
      <c r="R44" s="3">
        <f>46109.59+119116.44+115273.97+119116.44+115273.97</f>
        <v>514890.41000000003</v>
      </c>
      <c r="S44" s="3">
        <f>46109.59+119116.44+115273.97+119116.44+115273.97</f>
        <v>514890.41000000003</v>
      </c>
      <c r="T44" s="6">
        <f>Q44+R44-S44</f>
        <v>0</v>
      </c>
      <c r="U44" s="6">
        <f>N44+Q44+R44-S44</f>
        <v>15000000</v>
      </c>
      <c r="V44" s="25"/>
    </row>
    <row r="45" spans="1:51" ht="16.5" customHeight="1" thickBot="1">
      <c r="A45" s="94" t="s">
        <v>21</v>
      </c>
      <c r="B45" s="140"/>
      <c r="C45" s="140"/>
      <c r="D45" s="14"/>
      <c r="E45" s="14"/>
      <c r="F45" s="14"/>
      <c r="G45" s="14"/>
      <c r="H45" s="14"/>
      <c r="I45" s="5">
        <f aca="true" t="shared" si="5" ref="I45:Q45">I41+I43+I44+I42</f>
        <v>26000000</v>
      </c>
      <c r="J45" s="5">
        <f t="shared" si="5"/>
        <v>20600000</v>
      </c>
      <c r="K45" s="5">
        <f t="shared" si="5"/>
        <v>0</v>
      </c>
      <c r="L45" s="5">
        <f t="shared" si="5"/>
        <v>0</v>
      </c>
      <c r="M45" s="5">
        <f t="shared" si="5"/>
        <v>0</v>
      </c>
      <c r="N45" s="5">
        <f t="shared" si="5"/>
        <v>46600000</v>
      </c>
      <c r="O45" s="5">
        <f t="shared" si="5"/>
        <v>46600000</v>
      </c>
      <c r="P45" s="5">
        <f t="shared" si="5"/>
        <v>0</v>
      </c>
      <c r="Q45" s="5">
        <f t="shared" si="5"/>
        <v>0</v>
      </c>
      <c r="R45" s="5">
        <f>R41+R43+R44+R42</f>
        <v>2805492.87</v>
      </c>
      <c r="S45" s="5">
        <f>S41+S43+S44+S42</f>
        <v>2728024.5500000003</v>
      </c>
      <c r="T45" s="5">
        <f>T41+T43+T44+T42</f>
        <v>77468.31999999995</v>
      </c>
      <c r="U45" s="5">
        <f>U41+U43+U44+U42</f>
        <v>46677468.32</v>
      </c>
      <c r="V45" s="5">
        <f aca="true" t="shared" si="6" ref="V45:AY45">V41+V43</f>
        <v>0</v>
      </c>
      <c r="W45" s="5">
        <f t="shared" si="6"/>
        <v>0</v>
      </c>
      <c r="X45" s="5">
        <f t="shared" si="6"/>
        <v>0</v>
      </c>
      <c r="Y45" s="5">
        <f t="shared" si="6"/>
        <v>0</v>
      </c>
      <c r="Z45" s="5">
        <f t="shared" si="6"/>
        <v>0</v>
      </c>
      <c r="AA45" s="5">
        <f t="shared" si="6"/>
        <v>0</v>
      </c>
      <c r="AB45" s="5">
        <f t="shared" si="6"/>
        <v>0</v>
      </c>
      <c r="AC45" s="5">
        <f t="shared" si="6"/>
        <v>0</v>
      </c>
      <c r="AD45" s="5">
        <f t="shared" si="6"/>
        <v>0</v>
      </c>
      <c r="AE45" s="5">
        <f t="shared" si="6"/>
        <v>0</v>
      </c>
      <c r="AF45" s="5">
        <f t="shared" si="6"/>
        <v>0</v>
      </c>
      <c r="AG45" s="5">
        <f t="shared" si="6"/>
        <v>0</v>
      </c>
      <c r="AH45" s="5">
        <f t="shared" si="6"/>
        <v>0</v>
      </c>
      <c r="AI45" s="5">
        <f t="shared" si="6"/>
        <v>0</v>
      </c>
      <c r="AJ45" s="5">
        <f t="shared" si="6"/>
        <v>0</v>
      </c>
      <c r="AK45" s="5">
        <f t="shared" si="6"/>
        <v>0</v>
      </c>
      <c r="AL45" s="5">
        <f t="shared" si="6"/>
        <v>0</v>
      </c>
      <c r="AM45" s="5">
        <f t="shared" si="6"/>
        <v>0</v>
      </c>
      <c r="AN45" s="5">
        <f t="shared" si="6"/>
        <v>0</v>
      </c>
      <c r="AO45" s="5">
        <f t="shared" si="6"/>
        <v>0</v>
      </c>
      <c r="AP45" s="5">
        <f t="shared" si="6"/>
        <v>0</v>
      </c>
      <c r="AQ45" s="5">
        <f t="shared" si="6"/>
        <v>0</v>
      </c>
      <c r="AR45" s="5">
        <f t="shared" si="6"/>
        <v>0</v>
      </c>
      <c r="AS45" s="5">
        <f t="shared" si="6"/>
        <v>0</v>
      </c>
      <c r="AT45" s="5">
        <f t="shared" si="6"/>
        <v>0</v>
      </c>
      <c r="AU45" s="5">
        <f t="shared" si="6"/>
        <v>0</v>
      </c>
      <c r="AV45" s="5">
        <f t="shared" si="6"/>
        <v>0</v>
      </c>
      <c r="AW45" s="5">
        <f t="shared" si="6"/>
        <v>0</v>
      </c>
      <c r="AX45" s="5">
        <f t="shared" si="6"/>
        <v>0</v>
      </c>
      <c r="AY45" s="5">
        <f t="shared" si="6"/>
        <v>0</v>
      </c>
    </row>
    <row r="46" spans="1:38" s="82" customFormat="1" ht="18" customHeight="1" thickBot="1">
      <c r="A46" s="100" t="s">
        <v>5</v>
      </c>
      <c r="B46" s="101" t="s">
        <v>22</v>
      </c>
      <c r="C46" s="101"/>
      <c r="D46" s="144"/>
      <c r="E46" s="144"/>
      <c r="F46" s="144"/>
      <c r="G46" s="144"/>
      <c r="H46" s="144"/>
      <c r="I46" s="144"/>
      <c r="J46" s="140"/>
      <c r="K46" s="140"/>
      <c r="L46" s="140"/>
      <c r="M46" s="140"/>
      <c r="N46" s="140"/>
      <c r="O46" s="140"/>
      <c r="P46" s="140"/>
      <c r="Q46" s="140"/>
      <c r="R46" s="140"/>
      <c r="S46" s="147"/>
      <c r="T46" s="140"/>
      <c r="U46" s="145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38" s="82" customFormat="1" ht="69.75" customHeight="1" hidden="1">
      <c r="A47" s="100"/>
      <c r="B47" s="102"/>
      <c r="C47" s="103"/>
      <c r="D47" s="103"/>
      <c r="E47" s="104"/>
      <c r="F47" s="103"/>
      <c r="G47" s="153"/>
      <c r="H47" s="46"/>
      <c r="I47" s="61"/>
      <c r="J47" s="61"/>
      <c r="K47" s="156"/>
      <c r="L47" s="156"/>
      <c r="M47" s="33"/>
      <c r="N47" s="61"/>
      <c r="O47" s="32"/>
      <c r="P47" s="21"/>
      <c r="Q47" s="21"/>
      <c r="R47" s="21"/>
      <c r="S47" s="146"/>
      <c r="T47" s="61"/>
      <c r="U47" s="61"/>
      <c r="V47" s="81"/>
      <c r="W47" s="105"/>
      <c r="X47" s="105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</row>
    <row r="48" spans="1:38" s="82" customFormat="1" ht="18" customHeight="1" thickBot="1">
      <c r="A48" s="106" t="s">
        <v>21</v>
      </c>
      <c r="B48" s="107"/>
      <c r="C48" s="108"/>
      <c r="D48" s="108"/>
      <c r="E48" s="109"/>
      <c r="F48" s="110"/>
      <c r="G48" s="110"/>
      <c r="H48" s="103"/>
      <c r="I48" s="34">
        <f>I47</f>
        <v>0</v>
      </c>
      <c r="J48" s="34">
        <f>J47</f>
        <v>0</v>
      </c>
      <c r="K48" s="34"/>
      <c r="L48" s="34"/>
      <c r="M48" s="34">
        <f>M47</f>
        <v>0</v>
      </c>
      <c r="N48" s="34">
        <f>N47</f>
        <v>0</v>
      </c>
      <c r="O48" s="34">
        <f>O47</f>
        <v>0</v>
      </c>
      <c r="P48" s="22">
        <v>3</v>
      </c>
      <c r="Q48" s="22">
        <v>0</v>
      </c>
      <c r="R48" s="22">
        <v>0</v>
      </c>
      <c r="S48" s="22">
        <v>0</v>
      </c>
      <c r="T48" s="34">
        <f>N48</f>
        <v>0</v>
      </c>
      <c r="U48" s="34">
        <f>T48</f>
        <v>0</v>
      </c>
      <c r="V48" s="81"/>
      <c r="W48" s="11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</row>
    <row r="49" spans="1:23" ht="16.5" customHeight="1" thickBot="1">
      <c r="A49" s="112"/>
      <c r="B49" s="20" t="s">
        <v>16</v>
      </c>
      <c r="C49" s="19"/>
      <c r="D49" s="19"/>
      <c r="E49" s="19"/>
      <c r="F49" s="99"/>
      <c r="G49" s="99"/>
      <c r="H49" s="113"/>
      <c r="I49" s="23">
        <f aca="true" t="shared" si="7" ref="I49:U49">I39+I45</f>
        <v>79604000</v>
      </c>
      <c r="J49" s="23">
        <f t="shared" si="7"/>
        <v>20600000</v>
      </c>
      <c r="K49" s="23">
        <f t="shared" si="7"/>
        <v>12166000</v>
      </c>
      <c r="L49" s="23">
        <f t="shared" si="7"/>
        <v>5214000</v>
      </c>
      <c r="M49" s="23">
        <f t="shared" si="7"/>
        <v>11620000</v>
      </c>
      <c r="N49" s="23">
        <f t="shared" si="7"/>
        <v>88584000</v>
      </c>
      <c r="O49" s="23">
        <f t="shared" si="7"/>
        <v>88584000</v>
      </c>
      <c r="P49" s="23">
        <f t="shared" si="7"/>
        <v>0</v>
      </c>
      <c r="Q49" s="23">
        <f t="shared" si="7"/>
        <v>0</v>
      </c>
      <c r="R49" s="23">
        <f t="shared" si="7"/>
        <v>3142836.74</v>
      </c>
      <c r="S49" s="23">
        <f t="shared" si="7"/>
        <v>3065368.4200000004</v>
      </c>
      <c r="T49" s="23">
        <f t="shared" si="7"/>
        <v>77468.31999999995</v>
      </c>
      <c r="U49" s="23">
        <f t="shared" si="7"/>
        <v>88661468.32</v>
      </c>
      <c r="V49" s="25"/>
      <c r="W49" s="114"/>
    </row>
    <row r="50" spans="1:22" ht="16.5" customHeight="1">
      <c r="A50" s="25"/>
      <c r="B50" s="81"/>
      <c r="C50" s="10"/>
      <c r="D50" s="10"/>
      <c r="E50" s="10"/>
      <c r="F50" s="10"/>
      <c r="G50" s="10"/>
      <c r="H50" s="10"/>
      <c r="I50" s="24"/>
      <c r="J50" s="24"/>
      <c r="K50" s="24"/>
      <c r="L50" s="24"/>
      <c r="M50" s="24"/>
      <c r="N50" s="24"/>
      <c r="O50" s="24"/>
      <c r="P50" s="40"/>
      <c r="Q50" s="24"/>
      <c r="R50" s="24"/>
      <c r="S50" s="24"/>
      <c r="T50" s="24"/>
      <c r="U50" s="24"/>
      <c r="V50" s="25"/>
    </row>
    <row r="51" spans="1:22" ht="16.5" customHeight="1">
      <c r="A51" s="25"/>
      <c r="B51" s="10" t="s">
        <v>35</v>
      </c>
      <c r="C51" s="10"/>
      <c r="D51" s="10"/>
      <c r="E51" s="10"/>
      <c r="F51" s="10"/>
      <c r="G51" s="10"/>
      <c r="H51" s="10"/>
      <c r="I51" s="24" t="s">
        <v>39</v>
      </c>
      <c r="J51" s="24"/>
      <c r="K51" s="24"/>
      <c r="L51" s="24"/>
      <c r="M51" s="24"/>
      <c r="N51" s="24"/>
      <c r="O51" s="24"/>
      <c r="P51" s="40"/>
      <c r="Q51" s="24"/>
      <c r="R51" s="24"/>
      <c r="S51" s="40"/>
      <c r="T51" s="24"/>
      <c r="U51" s="24"/>
      <c r="V51" s="25"/>
    </row>
    <row r="52" spans="1:22" ht="16.5" customHeight="1">
      <c r="A52" s="25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24"/>
      <c r="T52" s="10"/>
      <c r="U52" s="10"/>
      <c r="V52" s="25"/>
    </row>
    <row r="53" spans="1:22" ht="15.75" customHeight="1">
      <c r="A53" s="25"/>
      <c r="B53" s="10" t="s">
        <v>27</v>
      </c>
      <c r="C53" s="10"/>
      <c r="D53" s="115"/>
      <c r="E53" s="116"/>
      <c r="F53" s="116"/>
      <c r="G53" s="116"/>
      <c r="H53" s="116"/>
      <c r="I53" s="35" t="s">
        <v>43</v>
      </c>
      <c r="J53" s="35"/>
      <c r="K53" s="35"/>
      <c r="L53" s="35"/>
      <c r="M53" s="35"/>
      <c r="N53" s="35"/>
      <c r="O53" s="35"/>
      <c r="P53" s="10"/>
      <c r="Q53" s="10"/>
      <c r="R53" s="10"/>
      <c r="S53" s="10"/>
      <c r="T53" s="10"/>
      <c r="U53" s="10"/>
      <c r="V53" s="25"/>
    </row>
    <row r="54" spans="1:22" ht="15.75" customHeight="1">
      <c r="A54" s="25"/>
      <c r="B54" s="10" t="s">
        <v>26</v>
      </c>
      <c r="C54" s="10"/>
      <c r="D54" s="115"/>
      <c r="E54" s="116"/>
      <c r="F54" s="116"/>
      <c r="G54" s="116"/>
      <c r="H54" s="116"/>
      <c r="I54" s="35"/>
      <c r="J54" s="35"/>
      <c r="K54" s="35"/>
      <c r="L54" s="35"/>
      <c r="M54" s="35"/>
      <c r="N54" s="117"/>
      <c r="O54" s="117"/>
      <c r="P54" s="10"/>
      <c r="Q54" s="10"/>
      <c r="R54" s="10"/>
      <c r="S54" s="10"/>
      <c r="T54" s="10"/>
      <c r="U54" s="10"/>
      <c r="V54" s="25"/>
    </row>
    <row r="55" spans="1:22" ht="12.75">
      <c r="A55" s="25"/>
      <c r="B55" s="10"/>
      <c r="C55" s="10"/>
      <c r="D55" s="39"/>
      <c r="E55" s="10"/>
      <c r="F55" s="10"/>
      <c r="G55" s="10"/>
      <c r="H55" s="10"/>
      <c r="I55" s="36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0.75" customHeight="1">
      <c r="A56" s="25"/>
      <c r="B56" s="10"/>
      <c r="C56" s="10"/>
      <c r="D56" s="39"/>
      <c r="E56" s="10"/>
      <c r="F56" s="10"/>
      <c r="G56" s="10"/>
      <c r="H56" s="10"/>
      <c r="I56" s="118"/>
      <c r="J56" s="36"/>
      <c r="K56" s="36"/>
      <c r="L56" s="36"/>
      <c r="M56" s="36"/>
      <c r="N56" s="36"/>
      <c r="O56" s="36"/>
      <c r="P56" s="10"/>
      <c r="Q56" s="10"/>
      <c r="R56" s="10"/>
      <c r="S56" s="10"/>
      <c r="T56" s="10"/>
      <c r="U56" s="10"/>
      <c r="V56" s="25"/>
    </row>
    <row r="57" spans="1:22" ht="14.25" customHeight="1" hidden="1">
      <c r="A57" s="25"/>
      <c r="B57" s="10"/>
      <c r="C57" s="10"/>
      <c r="D57" s="39"/>
      <c r="E57" s="10"/>
      <c r="F57" s="10"/>
      <c r="G57" s="10"/>
      <c r="H57" s="10"/>
      <c r="I57" s="36"/>
      <c r="J57" s="36"/>
      <c r="K57" s="36"/>
      <c r="L57" s="36"/>
      <c r="M57" s="36"/>
      <c r="N57" s="36"/>
      <c r="O57" s="36"/>
      <c r="P57" s="10"/>
      <c r="Q57" s="10"/>
      <c r="R57" s="10"/>
      <c r="S57" s="10"/>
      <c r="T57" s="10"/>
      <c r="U57" s="10"/>
      <c r="V57" s="25"/>
    </row>
    <row r="58" spans="1:22" ht="13.5" customHeight="1" hidden="1">
      <c r="A58" s="25"/>
      <c r="B58" s="10"/>
      <c r="C58" s="10"/>
      <c r="D58" s="10"/>
      <c r="E58" s="10"/>
      <c r="F58" s="10"/>
      <c r="G58" s="10"/>
      <c r="H58" s="10"/>
      <c r="I58" s="37"/>
      <c r="J58" s="37"/>
      <c r="K58" s="37"/>
      <c r="L58" s="37"/>
      <c r="M58" s="37"/>
      <c r="N58" s="37"/>
      <c r="O58" s="37"/>
      <c r="P58" s="10"/>
      <c r="Q58" s="10"/>
      <c r="R58" s="10"/>
      <c r="S58" s="10"/>
      <c r="T58" s="10"/>
      <c r="U58" s="10"/>
      <c r="V58" s="25"/>
    </row>
    <row r="59" spans="2:21" s="25" customFormat="1" ht="12.75" customHeight="1">
      <c r="B59" s="10" t="s">
        <v>14</v>
      </c>
      <c r="C59" s="39"/>
      <c r="D59" s="119"/>
      <c r="E59" s="120"/>
      <c r="F59" s="10"/>
      <c r="G59" s="10"/>
      <c r="H59" s="10"/>
      <c r="I59" s="37"/>
      <c r="J59" s="37"/>
      <c r="K59" s="37"/>
      <c r="L59" s="37"/>
      <c r="M59" s="37"/>
      <c r="N59" s="37"/>
      <c r="O59" s="37"/>
      <c r="P59" s="10"/>
      <c r="Q59" s="10"/>
      <c r="R59" s="10"/>
      <c r="S59" s="10"/>
      <c r="T59" s="10"/>
      <c r="U59" s="10"/>
    </row>
    <row r="60" spans="1:21" s="25" customFormat="1" ht="9.75" customHeight="1">
      <c r="A60" s="121"/>
      <c r="B60" s="122" t="s">
        <v>20</v>
      </c>
      <c r="C60" s="10"/>
      <c r="D60" s="10"/>
      <c r="E60" s="123"/>
      <c r="F60" s="123"/>
      <c r="G60" s="123"/>
      <c r="H60" s="124"/>
      <c r="I60" s="38"/>
      <c r="J60" s="38"/>
      <c r="K60" s="38"/>
      <c r="L60" s="38"/>
      <c r="M60" s="38"/>
      <c r="N60" s="38"/>
      <c r="O60" s="38"/>
      <c r="P60" s="10"/>
      <c r="Q60" s="10"/>
      <c r="R60" s="10"/>
      <c r="S60" s="10"/>
      <c r="T60" s="10"/>
      <c r="U60" s="10"/>
    </row>
    <row r="61" spans="2:21" s="25" customFormat="1" ht="12.75">
      <c r="B61" s="39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38"/>
      <c r="G63" s="38"/>
      <c r="H63" s="38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125"/>
      <c r="G65" s="125"/>
      <c r="H65" s="125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1:21" s="25" customFormat="1" ht="17.25">
      <c r="A66" s="121"/>
      <c r="B66" s="121"/>
      <c r="C66" s="126"/>
      <c r="D66" s="126"/>
      <c r="E66" s="126"/>
      <c r="F66" s="126"/>
      <c r="G66" s="126"/>
      <c r="H66" s="126"/>
      <c r="I66" s="39"/>
      <c r="J66" s="39"/>
      <c r="K66" s="39"/>
      <c r="L66" s="39"/>
      <c r="M66" s="39"/>
      <c r="N66" s="39"/>
      <c r="O66" s="39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38"/>
      <c r="F68" s="38"/>
      <c r="G68" s="38"/>
      <c r="H68" s="3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38"/>
      <c r="F69" s="38"/>
      <c r="G69" s="38"/>
      <c r="H69" s="3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1:21" s="25" customFormat="1" ht="17.25">
      <c r="A70" s="127"/>
      <c r="B70" s="10"/>
      <c r="C70" s="10"/>
      <c r="D70" s="10"/>
      <c r="E70" s="124"/>
      <c r="F70" s="124"/>
      <c r="G70" s="124"/>
      <c r="H70" s="124"/>
      <c r="I70" s="38"/>
      <c r="J70" s="38"/>
      <c r="K70" s="38"/>
      <c r="L70" s="38"/>
      <c r="M70" s="38"/>
      <c r="N70" s="38"/>
      <c r="O70" s="38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15"/>
      <c r="E72" s="116"/>
      <c r="F72" s="128"/>
      <c r="G72" s="128"/>
      <c r="H72" s="128"/>
      <c r="I72" s="35"/>
      <c r="J72" s="35"/>
      <c r="K72" s="35"/>
      <c r="L72" s="35"/>
      <c r="M72" s="35"/>
      <c r="N72" s="35"/>
      <c r="O72" s="35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28"/>
      <c r="G73" s="128"/>
      <c r="H73" s="128"/>
      <c r="I73" s="35"/>
      <c r="J73" s="35"/>
      <c r="K73" s="35"/>
      <c r="L73" s="35"/>
      <c r="M73" s="35"/>
      <c r="N73" s="35"/>
      <c r="O73" s="35"/>
      <c r="P73" s="10"/>
      <c r="Q73" s="10"/>
      <c r="R73" s="10"/>
      <c r="S73" s="10"/>
      <c r="T73" s="10"/>
      <c r="U73" s="10"/>
    </row>
    <row r="74" spans="1:21" s="25" customFormat="1" ht="17.25">
      <c r="A74" s="121"/>
      <c r="B74" s="121"/>
      <c r="C74" s="121"/>
      <c r="D74" s="121"/>
      <c r="E74" s="121"/>
      <c r="F74" s="121"/>
      <c r="G74" s="121"/>
      <c r="H74" s="129"/>
      <c r="I74" s="13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2:21" s="25" customFormat="1" ht="12.75">
      <c r="B76" s="10"/>
      <c r="C76" s="10"/>
      <c r="D76" s="115"/>
      <c r="E76" s="116"/>
      <c r="F76" s="116"/>
      <c r="G76" s="116"/>
      <c r="H76" s="116"/>
      <c r="I76" s="35"/>
      <c r="J76" s="35"/>
      <c r="K76" s="35"/>
      <c r="L76" s="35"/>
      <c r="M76" s="35"/>
      <c r="N76" s="117"/>
      <c r="O76" s="117"/>
      <c r="P76" s="10"/>
      <c r="Q76" s="10"/>
      <c r="R76" s="10"/>
      <c r="S76" s="10"/>
      <c r="T76" s="10"/>
      <c r="U76" s="10"/>
    </row>
    <row r="77" spans="2:21" s="25" customFormat="1" ht="12.75">
      <c r="B77" s="10"/>
      <c r="C77" s="10"/>
      <c r="D77" s="39"/>
      <c r="E77" s="10"/>
      <c r="F77" s="10"/>
      <c r="G77" s="10"/>
      <c r="H77" s="10"/>
      <c r="I77" s="36"/>
      <c r="J77" s="36"/>
      <c r="K77" s="36"/>
      <c r="L77" s="36"/>
      <c r="M77" s="36"/>
      <c r="N77" s="36"/>
      <c r="O77" s="36"/>
      <c r="P77" s="10"/>
      <c r="Q77" s="10"/>
      <c r="R77" s="10"/>
      <c r="T77" s="10"/>
      <c r="U77" s="10"/>
    </row>
    <row r="78" s="25" customFormat="1" ht="12.75">
      <c r="S78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8"/>
  <sheetViews>
    <sheetView zoomScalePageLayoutView="0" workbookViewId="0" topLeftCell="A5">
      <pane ySplit="3120" topLeftCell="A42" activePane="bottomLeft" state="split"/>
      <selection pane="topLeft" activeCell="R44" sqref="R44"/>
      <selection pane="bottomLeft" activeCell="G44" sqref="G44"/>
    </sheetView>
  </sheetViews>
  <sheetFormatPr defaultColWidth="9.125" defaultRowHeight="12.75"/>
  <cols>
    <col min="1" max="1" width="3.625" style="8" customWidth="1"/>
    <col min="2" max="2" width="7.50390625" style="8" customWidth="1"/>
    <col min="3" max="3" width="15.5039062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375" style="8" customWidth="1"/>
    <col min="9" max="9" width="16.50390625" style="8" customWidth="1"/>
    <col min="10" max="10" width="15.625" style="8" customWidth="1"/>
    <col min="11" max="12" width="13.125" style="8" hidden="1" customWidth="1"/>
    <col min="13" max="13" width="14.50390625" style="8" customWidth="1"/>
    <col min="14" max="14" width="17.50390625" style="8" customWidth="1"/>
    <col min="15" max="15" width="18.00390625" style="8" customWidth="1"/>
    <col min="16" max="16" width="6.50390625" style="8" customWidth="1"/>
    <col min="17" max="17" width="14.00390625" style="8" customWidth="1"/>
    <col min="18" max="18" width="13.50390625" style="8" customWidth="1"/>
    <col min="19" max="20" width="14.125" style="8" customWidth="1"/>
    <col min="21" max="21" width="17.00390625" style="8" customWidth="1"/>
    <col min="22" max="22" width="2.50390625" style="8" hidden="1" customWidth="1"/>
    <col min="23" max="23" width="15.125" style="8" hidden="1" customWidth="1"/>
    <col min="24" max="24" width="12.875" style="8" hidden="1" customWidth="1"/>
    <col min="25" max="25" width="11.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129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130</v>
      </c>
      <c r="K8" s="11" t="s">
        <v>70</v>
      </c>
      <c r="L8" s="11" t="s">
        <v>71</v>
      </c>
      <c r="M8" s="11" t="s">
        <v>131</v>
      </c>
      <c r="N8" s="11" t="s">
        <v>132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8">N23</f>
        <v>0</v>
      </c>
      <c r="P23" s="7"/>
      <c r="Q23" s="7"/>
      <c r="R23" s="5"/>
      <c r="S23" s="7"/>
      <c r="T23" s="6">
        <f aca="true" t="shared" si="1" ref="T23:T38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1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>
        <v>-1560000</v>
      </c>
      <c r="K30" s="134">
        <v>4158000</v>
      </c>
      <c r="L30" s="134">
        <v>1782000</v>
      </c>
      <c r="M30" s="135">
        <f>785000+785000+785000+785000+780000</f>
        <v>3920000</v>
      </c>
      <c r="N30" s="52">
        <f aca="true" t="shared" si="2" ref="N30:N38">I30+J30-M30</f>
        <v>0</v>
      </c>
      <c r="O30" s="149">
        <f t="shared" si="0"/>
        <v>0</v>
      </c>
      <c r="P30" s="136"/>
      <c r="Q30" s="136"/>
      <c r="R30" s="150">
        <f>11244.19+8136.45+7466.64+5356.72+4250.3+1103.98</f>
        <v>37558.280000000006</v>
      </c>
      <c r="S30" s="150">
        <f>11244.19+8136.45+7466.64+5356.72+4250.3+1103.98</f>
        <v>37558.280000000006</v>
      </c>
      <c r="T30" s="32">
        <f t="shared" si="1"/>
        <v>0</v>
      </c>
      <c r="U30" s="48">
        <f aca="true" t="shared" si="3" ref="U30:U38">O30+T30</f>
        <v>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2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>
        <v>-3500000</v>
      </c>
      <c r="K31" s="134"/>
      <c r="L31" s="134"/>
      <c r="M31" s="135">
        <f>500000+500000+500000+500000+500000</f>
        <v>2500000</v>
      </c>
      <c r="N31" s="52">
        <f t="shared" si="2"/>
        <v>0</v>
      </c>
      <c r="O31" s="149">
        <f t="shared" si="0"/>
        <v>0</v>
      </c>
      <c r="P31" s="136"/>
      <c r="Q31" s="136"/>
      <c r="R31" s="150">
        <f>12667.32+10155.08+10261.23+8739.74+8208.96+2476.84</f>
        <v>52509.17</v>
      </c>
      <c r="S31" s="150">
        <f>12667.32+10155.08+10261.23+8739.74+8208.96+2476.84</f>
        <v>52509.17</v>
      </c>
      <c r="T31" s="32">
        <f t="shared" si="1"/>
        <v>0</v>
      </c>
      <c r="U31" s="48">
        <f>O31+T31</f>
        <v>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3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>
        <f>9751.16+9912.81</f>
        <v>19663.97</v>
      </c>
      <c r="S32" s="137">
        <f>9751.16+9912.81</f>
        <v>19663.97</v>
      </c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4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>
        <v>-4998000</v>
      </c>
      <c r="K33" s="134">
        <v>5497800</v>
      </c>
      <c r="L33" s="134">
        <v>2356200</v>
      </c>
      <c r="M33" s="135">
        <f>714000+714000+714000+714000+714000</f>
        <v>3570000</v>
      </c>
      <c r="N33" s="52">
        <f t="shared" si="2"/>
        <v>3578000</v>
      </c>
      <c r="O33" s="149">
        <f t="shared" si="0"/>
        <v>3578000</v>
      </c>
      <c r="P33" s="136"/>
      <c r="Q33" s="136"/>
      <c r="R33" s="150">
        <f>120699.3+41826.92-131.75</f>
        <v>162394.47</v>
      </c>
      <c r="S33" s="137">
        <f>120699.3+41826.92-131.75</f>
        <v>162394.47</v>
      </c>
      <c r="T33" s="32">
        <f t="shared" si="1"/>
        <v>0</v>
      </c>
      <c r="U33" s="48">
        <f t="shared" si="3"/>
        <v>3578000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5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>
        <v>-322000</v>
      </c>
      <c r="K34" s="134">
        <v>354200</v>
      </c>
      <c r="L34" s="134">
        <v>151800</v>
      </c>
      <c r="M34" s="135">
        <f>46000+46000+46000+46000+46000</f>
        <v>230000</v>
      </c>
      <c r="N34" s="52">
        <f t="shared" si="2"/>
        <v>342000</v>
      </c>
      <c r="O34" s="149">
        <f t="shared" si="0"/>
        <v>342000</v>
      </c>
      <c r="P34" s="136"/>
      <c r="Q34" s="136"/>
      <c r="R34" s="150">
        <f>9216.85+3997.98-12.59</f>
        <v>13202.24</v>
      </c>
      <c r="S34" s="137">
        <f>9216.85+3997.98-12.59</f>
        <v>13202.24</v>
      </c>
      <c r="T34" s="32">
        <f t="shared" si="1"/>
        <v>0</v>
      </c>
      <c r="U34" s="48">
        <f>O34+T34</f>
        <v>342000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6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>
        <v>-1960000</v>
      </c>
      <c r="K35" s="134">
        <v>2156000</v>
      </c>
      <c r="L35" s="134">
        <v>924000</v>
      </c>
      <c r="M35" s="135">
        <f>280000+280000+280000+280000+280000</f>
        <v>1400000</v>
      </c>
      <c r="N35" s="52">
        <f t="shared" si="2"/>
        <v>3560000</v>
      </c>
      <c r="O35" s="149">
        <f t="shared" si="0"/>
        <v>3560000</v>
      </c>
      <c r="P35" s="155" t="s">
        <v>61</v>
      </c>
      <c r="Q35" s="136"/>
      <c r="R35" s="150">
        <f>74990.43+41616.5-131.09</f>
        <v>116475.84</v>
      </c>
      <c r="S35" s="137">
        <f>74990.43+41616.5-131.09</f>
        <v>116475.84</v>
      </c>
      <c r="T35" s="32">
        <f t="shared" si="1"/>
        <v>0</v>
      </c>
      <c r="U35" s="48">
        <f t="shared" si="3"/>
        <v>3560000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7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>
        <f>31942.52+29225.06-92.05</f>
        <v>61075.53</v>
      </c>
      <c r="S37" s="137">
        <f>31942.52+29225.06-92.05</f>
        <v>61075.53</v>
      </c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66.75" customHeight="1">
      <c r="A38" s="50">
        <v>8</v>
      </c>
      <c r="B38" s="42" t="s">
        <v>15</v>
      </c>
      <c r="C38" s="51" t="s">
        <v>103</v>
      </c>
      <c r="D38" s="51" t="s">
        <v>34</v>
      </c>
      <c r="E38" s="44">
        <v>0</v>
      </c>
      <c r="F38" s="45" t="s">
        <v>104</v>
      </c>
      <c r="G38" s="45"/>
      <c r="H38" s="46" t="s">
        <v>28</v>
      </c>
      <c r="I38" s="135">
        <v>0</v>
      </c>
      <c r="J38" s="134">
        <v>12340000</v>
      </c>
      <c r="K38" s="134"/>
      <c r="L38" s="134"/>
      <c r="M38" s="135">
        <v>0</v>
      </c>
      <c r="N38" s="149">
        <f t="shared" si="2"/>
        <v>12340000</v>
      </c>
      <c r="O38" s="149">
        <f t="shared" si="0"/>
        <v>12340000</v>
      </c>
      <c r="P38" s="155"/>
      <c r="Q38" s="136"/>
      <c r="R38" s="150">
        <f>676.16+6220.71</f>
        <v>6896.87</v>
      </c>
      <c r="S38" s="137">
        <f>676.16+6220.71</f>
        <v>6896.87</v>
      </c>
      <c r="T38" s="32">
        <f t="shared" si="1"/>
        <v>0</v>
      </c>
      <c r="U38" s="48">
        <f t="shared" si="3"/>
        <v>12340000</v>
      </c>
      <c r="V38" s="49"/>
      <c r="W38" s="49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51" ht="15.75" customHeight="1" thickBot="1">
      <c r="A39" s="94" t="s">
        <v>21</v>
      </c>
      <c r="B39" s="18"/>
      <c r="C39" s="18"/>
      <c r="D39" s="95"/>
      <c r="E39" s="96"/>
      <c r="F39" s="97"/>
      <c r="G39" s="97"/>
      <c r="H39" s="97"/>
      <c r="I39" s="133">
        <f>SUM(I23:I38)</f>
        <v>53604000</v>
      </c>
      <c r="J39" s="133">
        <f>SUM(J23:J38)</f>
        <v>0</v>
      </c>
      <c r="K39" s="133">
        <f>SUM(K23:K37)</f>
        <v>12166000</v>
      </c>
      <c r="L39" s="133">
        <f>SUM(L23:L37)</f>
        <v>5214000</v>
      </c>
      <c r="M39" s="133">
        <f>SUM(M23:M38)</f>
        <v>11620000</v>
      </c>
      <c r="N39" s="133">
        <f>SUM(N23:N38)</f>
        <v>41984000</v>
      </c>
      <c r="O39" s="133">
        <f>SUM(O23:O38)</f>
        <v>41984000</v>
      </c>
      <c r="P39" s="133">
        <f aca="true" t="shared" si="4" ref="P39:U39">SUM(P23:P38)</f>
        <v>0</v>
      </c>
      <c r="Q39" s="133">
        <f t="shared" si="4"/>
        <v>0</v>
      </c>
      <c r="R39" s="133">
        <f t="shared" si="4"/>
        <v>469776.37</v>
      </c>
      <c r="S39" s="133">
        <f t="shared" si="4"/>
        <v>469776.37</v>
      </c>
      <c r="T39" s="133">
        <f t="shared" si="4"/>
        <v>0</v>
      </c>
      <c r="U39" s="133">
        <f t="shared" si="4"/>
        <v>41984000</v>
      </c>
      <c r="V39" s="133" t="e">
        <f>#REF!+#REF!+#REF!+#REF!+V23+V24+#REF!+#REF!+#REF!+#REF!+V27+#REF!+V28+V29+V30+V31+V25+V26+V32+V33+V34+V35</f>
        <v>#REF!</v>
      </c>
      <c r="W39" s="133" t="e">
        <f>#REF!+#REF!+#REF!+#REF!+W23+W24+#REF!+#REF!+#REF!+#REF!+W27+#REF!+W28+W29+W30+W31+W25+W26+W32+W33+W34+W35</f>
        <v>#REF!</v>
      </c>
      <c r="X39" s="133" t="e">
        <f>#REF!+#REF!+#REF!+#REF!+X23+X24+#REF!+#REF!+#REF!+#REF!+X27+#REF!+X28+X29+X30+X31+X25+X26+X32+X33+X34+X35</f>
        <v>#REF!</v>
      </c>
      <c r="Y39" s="133" t="e">
        <f>#REF!+#REF!+#REF!+#REF!+Y23+Y24+#REF!+#REF!+#REF!+#REF!+Y27+#REF!+Y28+Y29+Y30+Y31+Y25+Y26+Y32+Y33+Y34+Y35</f>
        <v>#REF!</v>
      </c>
      <c r="Z39" s="133" t="e">
        <f>#REF!+#REF!+#REF!+#REF!+Z23+Z24+#REF!+#REF!+#REF!+#REF!+Z27+#REF!+Z28+Z29+Z30+Z31+Z25+Z26+Z32+Z33+Z34+Z35</f>
        <v>#REF!</v>
      </c>
      <c r="AA39" s="133" t="e">
        <f>#REF!+#REF!+#REF!+#REF!+AA23+AA24+#REF!+#REF!+#REF!+#REF!+AA27+#REF!+AA28+AA29+AA30+AA31+AA25+AA26+AA32+AA33+AA34+AA35</f>
        <v>#REF!</v>
      </c>
      <c r="AB39" s="133" t="e">
        <f>#REF!+#REF!+#REF!+#REF!+AB23+AB24+#REF!+#REF!+#REF!+#REF!+AB27+#REF!+AB28+AB29+AB30+AB31+AB25+AB26+AB32+AB33+AB34+AB35</f>
        <v>#REF!</v>
      </c>
      <c r="AC39" s="133" t="e">
        <f>#REF!+#REF!+#REF!+#REF!+AC23+AC24+#REF!+#REF!+#REF!+#REF!+AC27+#REF!+AC28+AC29+AC30+AC31+AC25+AC26+AC32+AC33+AC34+AC35</f>
        <v>#REF!</v>
      </c>
      <c r="AD39" s="133" t="e">
        <f>#REF!+#REF!+#REF!+#REF!+AD23+AD24+#REF!+#REF!+#REF!+#REF!+AD27+#REF!+AD28+AD29+AD30+AD31+AD25+AD26+AD32+AD33+AD34+AD35</f>
        <v>#REF!</v>
      </c>
      <c r="AE39" s="133" t="e">
        <f>#REF!+#REF!+#REF!+#REF!+AE23+AE24+#REF!+#REF!+#REF!+#REF!+AE27+#REF!+AE28+AE29+AE30+AE31+AE25+AE26+AE32+AE33+AE34+AE35</f>
        <v>#REF!</v>
      </c>
      <c r="AF39" s="133" t="e">
        <f>#REF!+#REF!+#REF!+#REF!+AF23+AF24+#REF!+#REF!+#REF!+#REF!+AF27+#REF!+AF28+AF29+AF30+AF31+AF25+AF26+AF32+AF33+AF34+AF35</f>
        <v>#REF!</v>
      </c>
      <c r="AG39" s="133" t="e">
        <f>#REF!+#REF!+#REF!+#REF!+AG23+AG24+#REF!+#REF!+#REF!+#REF!+AG27+#REF!+AG28+AG29+AG30+AG31+AG25+AG26+AG32+AG33+AG34+AG35</f>
        <v>#REF!</v>
      </c>
      <c r="AH39" s="133" t="e">
        <f>#REF!+#REF!+#REF!+#REF!+AH23+AH24+#REF!+#REF!+#REF!+#REF!+AH27+#REF!+AH28+AH29+AH30+AH31+AH25+AH26+AH32+AH33+AH34+AH35</f>
        <v>#REF!</v>
      </c>
      <c r="AI39" s="133" t="e">
        <f>#REF!+#REF!+#REF!+#REF!+AI23+AI24+#REF!+#REF!+#REF!+#REF!+AI27+#REF!+AI28+AI29+AI30+AI31+AI25+AI26+AI32+AI33+AI34+AI35</f>
        <v>#REF!</v>
      </c>
      <c r="AJ39" s="133" t="e">
        <f>#REF!+#REF!+#REF!+#REF!+AJ23+AJ24+#REF!+#REF!+#REF!+#REF!+AJ27+#REF!+AJ28+AJ29+AJ30+AJ31+AJ25+AJ26+AJ32+AJ33+AJ34+AJ35</f>
        <v>#REF!</v>
      </c>
      <c r="AK39" s="133" t="e">
        <f>#REF!+#REF!+#REF!+#REF!+AK23+AK24+#REF!+#REF!+#REF!+#REF!+AK27+#REF!+AK28+AK29+AK30+AK31+AK25+AK26+AK32+AK33+AK34+AK35</f>
        <v>#REF!</v>
      </c>
      <c r="AL39" s="133" t="e">
        <f>#REF!+#REF!+#REF!+#REF!+AL23+AL24+#REF!+#REF!+#REF!+#REF!+AL27+#REF!+AL28+AL29+AL30+AL31+AL25+AL26+AL32+AL33+AL34+AL35</f>
        <v>#REF!</v>
      </c>
      <c r="AM39" s="133" t="e">
        <f>#REF!+#REF!+#REF!+#REF!+AM23+AM24+#REF!+#REF!+#REF!+#REF!+AM27+#REF!+AM28+AM29+AM30+AM31+AM25+AM26+AM32+AM33+AM34+AM35</f>
        <v>#REF!</v>
      </c>
      <c r="AN39" s="133" t="e">
        <f>#REF!+#REF!+#REF!+#REF!+AN23+AN24+#REF!+#REF!+#REF!+#REF!+AN27+#REF!+AN28+AN29+AN30+AN31+AN25+AN26+AN32+AN33+AN34+AN35</f>
        <v>#REF!</v>
      </c>
      <c r="AO39" s="133" t="e">
        <f>#REF!+#REF!+#REF!+#REF!+AO23+AO24+#REF!+#REF!+#REF!+#REF!+AO27+#REF!+AO28+AO29+AO30+AO31+AO25+AO26+AO32+AO33+AO34+AO35</f>
        <v>#REF!</v>
      </c>
      <c r="AP39" s="133" t="e">
        <f>#REF!+#REF!+#REF!+#REF!+AP23+AP24+#REF!+#REF!+#REF!+#REF!+AP27+#REF!+AP28+AP29+AP30+AP31+AP25+AP26+AP32+AP33+AP34+AP35</f>
        <v>#REF!</v>
      </c>
      <c r="AQ39" s="133" t="e">
        <f>#REF!+#REF!+#REF!+#REF!+AQ23+AQ24+#REF!+#REF!+#REF!+#REF!+AQ27+#REF!+AQ28+AQ29+AQ30+AQ31+AQ25+AQ26+AQ32+AQ33+AQ34+AQ35</f>
        <v>#REF!</v>
      </c>
      <c r="AR39" s="133" t="e">
        <f>#REF!+#REF!+#REF!+#REF!+AR23+AR24+#REF!+#REF!+#REF!+#REF!+AR27+#REF!+AR28+AR29+AR30+AR31+AR25+AR26+AR32+AR33+AR34+AR35</f>
        <v>#REF!</v>
      </c>
      <c r="AS39" s="133" t="e">
        <f>#REF!+#REF!+#REF!+#REF!+AS23+AS24+#REF!+#REF!+#REF!+#REF!+AS27+#REF!+AS28+AS29+AS30+AS31+AS25+AS26+AS32+AS33+AS34+AS35</f>
        <v>#REF!</v>
      </c>
      <c r="AT39" s="133" t="e">
        <f>#REF!+#REF!+#REF!+#REF!+AT23+AT24+#REF!+#REF!+#REF!+#REF!+AT27+#REF!+AT28+AT29+AT30+AT31+AT25+AT26+AT32+AT33+AT34+AT35</f>
        <v>#REF!</v>
      </c>
      <c r="AU39" s="133" t="e">
        <f>#REF!+#REF!+#REF!+#REF!+AU23+AU24+#REF!+#REF!+#REF!+#REF!+AU27+#REF!+AU28+AU29+AU30+AU31+AU25+AU26+AU32+AU33+AU34+AU35</f>
        <v>#REF!</v>
      </c>
      <c r="AV39" s="133" t="e">
        <f>#REF!+#REF!+#REF!+#REF!+AV23+AV24+#REF!+#REF!+#REF!+#REF!+AV27+#REF!+AV28+AV29+AV30+AV31+AV25+AV26+AV32+AV33+AV34+AV35</f>
        <v>#REF!</v>
      </c>
      <c r="AW39" s="133" t="e">
        <f>#REF!+#REF!+#REF!+#REF!+AW23+AW24+#REF!+#REF!+#REF!+#REF!+AW27+#REF!+AW28+AW29+AW30+AW31+AW25+AW26+AW32+AW33+AW34+AW35</f>
        <v>#REF!</v>
      </c>
      <c r="AX39" s="133" t="e">
        <f>#REF!+#REF!+#REF!+#REF!+AX23+AX24+#REF!+#REF!+#REF!+#REF!+AX27+#REF!+AX28+AX29+AX30+AX31+AX25+AX26+AX32+AX33+AX34+AX35</f>
        <v>#REF!</v>
      </c>
      <c r="AY39" s="133" t="e">
        <f>#REF!+#REF!+#REF!+#REF!+AY23+AY24+#REF!+#REF!+#REF!+#REF!+AY27+#REF!+AY28+AY29+AY30+AY31+AY25+AY26+AY32+AY33+AY34+AY35</f>
        <v>#REF!</v>
      </c>
    </row>
    <row r="40" spans="1:22" ht="16.5" customHeight="1" thickBot="1">
      <c r="A40" s="138" t="s">
        <v>19</v>
      </c>
      <c r="B40" s="139" t="s">
        <v>23</v>
      </c>
      <c r="C40" s="139"/>
      <c r="D40" s="139"/>
      <c r="E40" s="139"/>
      <c r="F40" s="139"/>
      <c r="G40" s="139"/>
      <c r="H40" s="20"/>
      <c r="I40" s="10"/>
      <c r="J40" s="10"/>
      <c r="K40" s="10"/>
      <c r="L40" s="10"/>
      <c r="M40" s="10"/>
      <c r="N40" s="10"/>
      <c r="O40" s="98"/>
      <c r="P40" s="10"/>
      <c r="Q40" s="10"/>
      <c r="R40" s="10"/>
      <c r="S40" s="142"/>
      <c r="T40" s="10"/>
      <c r="U40" s="143"/>
      <c r="V40" s="25"/>
    </row>
    <row r="41" spans="1:22" ht="69" customHeight="1">
      <c r="A41" s="148">
        <v>1</v>
      </c>
      <c r="B41" s="42" t="s">
        <v>23</v>
      </c>
      <c r="C41" s="141" t="s">
        <v>63</v>
      </c>
      <c r="D41" s="131" t="s">
        <v>64</v>
      </c>
      <c r="E41" s="17">
        <v>100000000</v>
      </c>
      <c r="F41" s="151" t="s">
        <v>65</v>
      </c>
      <c r="G41" s="154" t="s">
        <v>62</v>
      </c>
      <c r="H41" s="132" t="s">
        <v>28</v>
      </c>
      <c r="I41" s="152">
        <v>10000000</v>
      </c>
      <c r="J41" s="152">
        <v>0</v>
      </c>
      <c r="K41" s="152"/>
      <c r="L41" s="152"/>
      <c r="M41" s="152">
        <v>1300000</v>
      </c>
      <c r="N41" s="6">
        <f>I41+J41-M41</f>
        <v>8700000</v>
      </c>
      <c r="O41" s="6">
        <f>N41</f>
        <v>8700000</v>
      </c>
      <c r="P41" s="3"/>
      <c r="Q41" s="3"/>
      <c r="R41" s="3">
        <f>80050.6+72303.77+80050.59+77468.32+80050.59+77468.32+80050.6+80050.59+77468.32+80050.59+77468.32+13871.75+66178.85</f>
        <v>942531.2099999998</v>
      </c>
      <c r="S41" s="3">
        <f>80050.6+72303.77+80050.59+77468.32+80050.59+77468.32+80050.6+80050.59+77468.32+80050.59+77468.32+13871.75+66178.85</f>
        <v>942531.2099999998</v>
      </c>
      <c r="T41" s="6">
        <f>Q41+R41-S41</f>
        <v>0</v>
      </c>
      <c r="U41" s="6">
        <f>N41+Q41+R41-S41</f>
        <v>8700000</v>
      </c>
      <c r="V41" s="25"/>
    </row>
    <row r="42" spans="1:22" ht="69" customHeight="1">
      <c r="A42" s="148">
        <v>1</v>
      </c>
      <c r="B42" s="42" t="s">
        <v>23</v>
      </c>
      <c r="C42" s="141" t="s">
        <v>134</v>
      </c>
      <c r="D42" s="131" t="s">
        <v>64</v>
      </c>
      <c r="E42" s="17">
        <v>56000000</v>
      </c>
      <c r="F42" s="151" t="s">
        <v>128</v>
      </c>
      <c r="G42" s="154" t="s">
        <v>133</v>
      </c>
      <c r="H42" s="132" t="s">
        <v>28</v>
      </c>
      <c r="I42" s="152">
        <v>0</v>
      </c>
      <c r="J42" s="152">
        <v>5600000</v>
      </c>
      <c r="K42" s="152"/>
      <c r="L42" s="152"/>
      <c r="M42" s="152">
        <v>0</v>
      </c>
      <c r="N42" s="6">
        <f>I42+J42-M42</f>
        <v>5600000</v>
      </c>
      <c r="O42" s="6">
        <f>N42</f>
        <v>5600000</v>
      </c>
      <c r="P42" s="3"/>
      <c r="Q42" s="3"/>
      <c r="R42" s="3">
        <f>2884.38+44707.95</f>
        <v>47592.329999999994</v>
      </c>
      <c r="S42" s="3">
        <f>2884.38+44707.95</f>
        <v>47592.329999999994</v>
      </c>
      <c r="T42" s="6">
        <f>Q42+R42-S42</f>
        <v>0</v>
      </c>
      <c r="U42" s="6">
        <f>N42+Q42+R42-S42</f>
        <v>5600000</v>
      </c>
      <c r="V42" s="25"/>
    </row>
    <row r="43" spans="1:22" ht="69" customHeight="1">
      <c r="A43" s="148">
        <v>2</v>
      </c>
      <c r="B43" s="131" t="s">
        <v>23</v>
      </c>
      <c r="C43" s="157" t="s">
        <v>74</v>
      </c>
      <c r="D43" s="131" t="s">
        <v>41</v>
      </c>
      <c r="E43" s="17">
        <v>160000000</v>
      </c>
      <c r="F43" s="151" t="s">
        <v>76</v>
      </c>
      <c r="G43" s="154" t="s">
        <v>75</v>
      </c>
      <c r="H43" s="132" t="s">
        <v>28</v>
      </c>
      <c r="I43" s="152">
        <v>16000000</v>
      </c>
      <c r="J43" s="152">
        <v>0</v>
      </c>
      <c r="K43" s="152"/>
      <c r="L43" s="152"/>
      <c r="M43" s="152">
        <v>0</v>
      </c>
      <c r="N43" s="6">
        <f>I43+J43-M43</f>
        <v>16000000</v>
      </c>
      <c r="O43" s="6">
        <f>N43</f>
        <v>16000000</v>
      </c>
      <c r="P43" s="3"/>
      <c r="Q43" s="3"/>
      <c r="R43" s="3">
        <f>132282.52+119480.99+132282.52+128015.34+132282.52+128015.34+132282.52+132282.52+128015.34+132282.52+128015.34+132282.52</f>
        <v>1557519.9900000002</v>
      </c>
      <c r="S43" s="3">
        <f>132282.52+119480.99+132282.52+128015.34+132282.52+128015.34+132282.52+132282.52+128015.34+132282.52+128015.34+132282.52</f>
        <v>1557519.9900000002</v>
      </c>
      <c r="T43" s="6">
        <f>Q43+R43-S43</f>
        <v>0</v>
      </c>
      <c r="U43" s="6">
        <f>N43+Q43+R43-S43</f>
        <v>16000000.000000002</v>
      </c>
      <c r="V43" s="25"/>
    </row>
    <row r="44" spans="1:22" ht="69" customHeight="1">
      <c r="A44" s="158">
        <v>3</v>
      </c>
      <c r="B44" s="42" t="s">
        <v>23</v>
      </c>
      <c r="C44" s="141" t="s">
        <v>109</v>
      </c>
      <c r="D44" s="131" t="s">
        <v>110</v>
      </c>
      <c r="E44" s="17">
        <v>15000000</v>
      </c>
      <c r="F44" s="151" t="s">
        <v>111</v>
      </c>
      <c r="G44" s="154" t="s">
        <v>112</v>
      </c>
      <c r="H44" s="132" t="s">
        <v>28</v>
      </c>
      <c r="I44" s="152">
        <v>0</v>
      </c>
      <c r="J44" s="152">
        <v>15000000</v>
      </c>
      <c r="K44" s="152"/>
      <c r="L44" s="152"/>
      <c r="M44" s="152">
        <v>0</v>
      </c>
      <c r="N44" s="6">
        <f>I44+J44-M44</f>
        <v>15000000</v>
      </c>
      <c r="O44" s="6">
        <f>N44</f>
        <v>15000000</v>
      </c>
      <c r="P44" s="3"/>
      <c r="Q44" s="3"/>
      <c r="R44" s="3">
        <f>46109.59+119116.44+115273.97+119116.44+115273.97+119116.44</f>
        <v>634006.8500000001</v>
      </c>
      <c r="S44" s="3">
        <f>46109.59+119116.44+115273.97+119116.44+115273.97+119116.44</f>
        <v>634006.8500000001</v>
      </c>
      <c r="T44" s="6">
        <f>Q44+R44-S44</f>
        <v>0</v>
      </c>
      <c r="U44" s="6">
        <f>N44+Q44+R44-S44</f>
        <v>15000000</v>
      </c>
      <c r="V44" s="25"/>
    </row>
    <row r="45" spans="1:51" ht="16.5" customHeight="1" thickBot="1">
      <c r="A45" s="94" t="s">
        <v>21</v>
      </c>
      <c r="B45" s="140"/>
      <c r="C45" s="140"/>
      <c r="D45" s="14"/>
      <c r="E45" s="14"/>
      <c r="F45" s="14"/>
      <c r="G45" s="14"/>
      <c r="H45" s="14"/>
      <c r="I45" s="5">
        <f aca="true" t="shared" si="5" ref="I45:Q45">I41+I43+I44+I42</f>
        <v>26000000</v>
      </c>
      <c r="J45" s="5">
        <f t="shared" si="5"/>
        <v>20600000</v>
      </c>
      <c r="K45" s="5">
        <f t="shared" si="5"/>
        <v>0</v>
      </c>
      <c r="L45" s="5">
        <f t="shared" si="5"/>
        <v>0</v>
      </c>
      <c r="M45" s="5">
        <f t="shared" si="5"/>
        <v>1300000</v>
      </c>
      <c r="N45" s="5">
        <f t="shared" si="5"/>
        <v>45300000</v>
      </c>
      <c r="O45" s="5">
        <f t="shared" si="5"/>
        <v>45300000</v>
      </c>
      <c r="P45" s="5">
        <f t="shared" si="5"/>
        <v>0</v>
      </c>
      <c r="Q45" s="5">
        <f t="shared" si="5"/>
        <v>0</v>
      </c>
      <c r="R45" s="5">
        <f>R41+R43+R44+R42</f>
        <v>3181650.3800000004</v>
      </c>
      <c r="S45" s="5">
        <f>S41+S43+S44+S42</f>
        <v>3181650.3800000004</v>
      </c>
      <c r="T45" s="5">
        <f>T41+T43+T44+T42</f>
        <v>0</v>
      </c>
      <c r="U45" s="5">
        <f>U41+U43+U44+U42</f>
        <v>45300000</v>
      </c>
      <c r="V45" s="5">
        <f aca="true" t="shared" si="6" ref="V45:AY45">V41+V43</f>
        <v>0</v>
      </c>
      <c r="W45" s="5">
        <f t="shared" si="6"/>
        <v>0</v>
      </c>
      <c r="X45" s="5">
        <f t="shared" si="6"/>
        <v>0</v>
      </c>
      <c r="Y45" s="5">
        <f t="shared" si="6"/>
        <v>0</v>
      </c>
      <c r="Z45" s="5">
        <f t="shared" si="6"/>
        <v>0</v>
      </c>
      <c r="AA45" s="5">
        <f t="shared" si="6"/>
        <v>0</v>
      </c>
      <c r="AB45" s="5">
        <f t="shared" si="6"/>
        <v>0</v>
      </c>
      <c r="AC45" s="5">
        <f t="shared" si="6"/>
        <v>0</v>
      </c>
      <c r="AD45" s="5">
        <f t="shared" si="6"/>
        <v>0</v>
      </c>
      <c r="AE45" s="5">
        <f t="shared" si="6"/>
        <v>0</v>
      </c>
      <c r="AF45" s="5">
        <f t="shared" si="6"/>
        <v>0</v>
      </c>
      <c r="AG45" s="5">
        <f t="shared" si="6"/>
        <v>0</v>
      </c>
      <c r="AH45" s="5">
        <f t="shared" si="6"/>
        <v>0</v>
      </c>
      <c r="AI45" s="5">
        <f t="shared" si="6"/>
        <v>0</v>
      </c>
      <c r="AJ45" s="5">
        <f t="shared" si="6"/>
        <v>0</v>
      </c>
      <c r="AK45" s="5">
        <f t="shared" si="6"/>
        <v>0</v>
      </c>
      <c r="AL45" s="5">
        <f t="shared" si="6"/>
        <v>0</v>
      </c>
      <c r="AM45" s="5">
        <f t="shared" si="6"/>
        <v>0</v>
      </c>
      <c r="AN45" s="5">
        <f t="shared" si="6"/>
        <v>0</v>
      </c>
      <c r="AO45" s="5">
        <f t="shared" si="6"/>
        <v>0</v>
      </c>
      <c r="AP45" s="5">
        <f t="shared" si="6"/>
        <v>0</v>
      </c>
      <c r="AQ45" s="5">
        <f t="shared" si="6"/>
        <v>0</v>
      </c>
      <c r="AR45" s="5">
        <f t="shared" si="6"/>
        <v>0</v>
      </c>
      <c r="AS45" s="5">
        <f t="shared" si="6"/>
        <v>0</v>
      </c>
      <c r="AT45" s="5">
        <f t="shared" si="6"/>
        <v>0</v>
      </c>
      <c r="AU45" s="5">
        <f t="shared" si="6"/>
        <v>0</v>
      </c>
      <c r="AV45" s="5">
        <f t="shared" si="6"/>
        <v>0</v>
      </c>
      <c r="AW45" s="5">
        <f t="shared" si="6"/>
        <v>0</v>
      </c>
      <c r="AX45" s="5">
        <f t="shared" si="6"/>
        <v>0</v>
      </c>
      <c r="AY45" s="5">
        <f t="shared" si="6"/>
        <v>0</v>
      </c>
    </row>
    <row r="46" spans="1:38" s="82" customFormat="1" ht="18" customHeight="1" thickBot="1">
      <c r="A46" s="100" t="s">
        <v>5</v>
      </c>
      <c r="B46" s="101" t="s">
        <v>22</v>
      </c>
      <c r="C46" s="101"/>
      <c r="D46" s="144"/>
      <c r="E46" s="144"/>
      <c r="F46" s="144"/>
      <c r="G46" s="144"/>
      <c r="H46" s="144"/>
      <c r="I46" s="144"/>
      <c r="J46" s="140"/>
      <c r="K46" s="140"/>
      <c r="L46" s="140"/>
      <c r="M46" s="140"/>
      <c r="N46" s="140"/>
      <c r="O46" s="140"/>
      <c r="P46" s="140"/>
      <c r="Q46" s="140"/>
      <c r="R46" s="140"/>
      <c r="S46" s="147"/>
      <c r="T46" s="140"/>
      <c r="U46" s="145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38" s="82" customFormat="1" ht="69.75" customHeight="1" hidden="1">
      <c r="A47" s="100"/>
      <c r="B47" s="102"/>
      <c r="C47" s="103"/>
      <c r="D47" s="103"/>
      <c r="E47" s="104"/>
      <c r="F47" s="103"/>
      <c r="G47" s="153"/>
      <c r="H47" s="46"/>
      <c r="I47" s="61"/>
      <c r="J47" s="61"/>
      <c r="K47" s="156"/>
      <c r="L47" s="156"/>
      <c r="M47" s="33"/>
      <c r="N47" s="61"/>
      <c r="O47" s="32"/>
      <c r="P47" s="21"/>
      <c r="Q47" s="21"/>
      <c r="R47" s="21"/>
      <c r="S47" s="146"/>
      <c r="T47" s="61"/>
      <c r="U47" s="61"/>
      <c r="V47" s="81"/>
      <c r="W47" s="105"/>
      <c r="X47" s="105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</row>
    <row r="48" spans="1:38" s="82" customFormat="1" ht="18" customHeight="1" thickBot="1">
      <c r="A48" s="106" t="s">
        <v>21</v>
      </c>
      <c r="B48" s="107"/>
      <c r="C48" s="108"/>
      <c r="D48" s="108"/>
      <c r="E48" s="109"/>
      <c r="F48" s="110"/>
      <c r="G48" s="110"/>
      <c r="H48" s="103"/>
      <c r="I48" s="34">
        <f>I47</f>
        <v>0</v>
      </c>
      <c r="J48" s="34">
        <f>J47</f>
        <v>0</v>
      </c>
      <c r="K48" s="34"/>
      <c r="L48" s="34"/>
      <c r="M48" s="34">
        <f>M47</f>
        <v>0</v>
      </c>
      <c r="N48" s="34">
        <f>N47</f>
        <v>0</v>
      </c>
      <c r="O48" s="34">
        <f>O47</f>
        <v>0</v>
      </c>
      <c r="P48" s="22">
        <v>3</v>
      </c>
      <c r="Q48" s="22">
        <v>0</v>
      </c>
      <c r="R48" s="22">
        <v>0</v>
      </c>
      <c r="S48" s="22">
        <v>0</v>
      </c>
      <c r="T48" s="34">
        <f>N48</f>
        <v>0</v>
      </c>
      <c r="U48" s="34">
        <f>T48</f>
        <v>0</v>
      </c>
      <c r="V48" s="81"/>
      <c r="W48" s="11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</row>
    <row r="49" spans="1:23" ht="16.5" customHeight="1" thickBot="1">
      <c r="A49" s="112"/>
      <c r="B49" s="20" t="s">
        <v>16</v>
      </c>
      <c r="C49" s="19"/>
      <c r="D49" s="19"/>
      <c r="E49" s="19"/>
      <c r="F49" s="99"/>
      <c r="G49" s="99"/>
      <c r="H49" s="113"/>
      <c r="I49" s="23">
        <f aca="true" t="shared" si="7" ref="I49:U49">I39+I45</f>
        <v>79604000</v>
      </c>
      <c r="J49" s="23">
        <f t="shared" si="7"/>
        <v>20600000</v>
      </c>
      <c r="K49" s="23">
        <f t="shared" si="7"/>
        <v>12166000</v>
      </c>
      <c r="L49" s="23">
        <f t="shared" si="7"/>
        <v>5214000</v>
      </c>
      <c r="M49" s="23">
        <f t="shared" si="7"/>
        <v>12920000</v>
      </c>
      <c r="N49" s="23">
        <f t="shared" si="7"/>
        <v>87284000</v>
      </c>
      <c r="O49" s="23">
        <f t="shared" si="7"/>
        <v>87284000</v>
      </c>
      <c r="P49" s="23">
        <f t="shared" si="7"/>
        <v>0</v>
      </c>
      <c r="Q49" s="23">
        <f t="shared" si="7"/>
        <v>0</v>
      </c>
      <c r="R49" s="23">
        <f t="shared" si="7"/>
        <v>3651426.7500000005</v>
      </c>
      <c r="S49" s="23">
        <f t="shared" si="7"/>
        <v>3651426.7500000005</v>
      </c>
      <c r="T49" s="23">
        <f t="shared" si="7"/>
        <v>0</v>
      </c>
      <c r="U49" s="23">
        <f t="shared" si="7"/>
        <v>87284000</v>
      </c>
      <c r="V49" s="25"/>
      <c r="W49" s="114"/>
    </row>
    <row r="50" spans="1:22" ht="16.5" customHeight="1">
      <c r="A50" s="25"/>
      <c r="B50" s="81"/>
      <c r="C50" s="10"/>
      <c r="D50" s="10"/>
      <c r="E50" s="10"/>
      <c r="F50" s="10"/>
      <c r="G50" s="10"/>
      <c r="H50" s="10"/>
      <c r="I50" s="24"/>
      <c r="J50" s="24"/>
      <c r="K50" s="24"/>
      <c r="L50" s="24"/>
      <c r="M50" s="24"/>
      <c r="N50" s="24"/>
      <c r="O50" s="24"/>
      <c r="P50" s="40"/>
      <c r="Q50" s="24"/>
      <c r="R50" s="24"/>
      <c r="S50" s="24"/>
      <c r="T50" s="24"/>
      <c r="U50" s="24"/>
      <c r="V50" s="25"/>
    </row>
    <row r="51" spans="1:22" ht="16.5" customHeight="1">
      <c r="A51" s="25"/>
      <c r="B51" s="10" t="s">
        <v>35</v>
      </c>
      <c r="C51" s="10"/>
      <c r="D51" s="10"/>
      <c r="E51" s="10"/>
      <c r="F51" s="10"/>
      <c r="G51" s="10"/>
      <c r="H51" s="10"/>
      <c r="I51" s="24" t="s">
        <v>39</v>
      </c>
      <c r="J51" s="24"/>
      <c r="K51" s="24"/>
      <c r="L51" s="24"/>
      <c r="M51" s="24"/>
      <c r="N51" s="24"/>
      <c r="O51" s="24"/>
      <c r="P51" s="40"/>
      <c r="Q51" s="24"/>
      <c r="R51" s="24"/>
      <c r="S51" s="40"/>
      <c r="T51" s="24"/>
      <c r="U51" s="24"/>
      <c r="V51" s="25"/>
    </row>
    <row r="52" spans="1:22" ht="16.5" customHeight="1">
      <c r="A52" s="25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24"/>
      <c r="T52" s="10"/>
      <c r="U52" s="10"/>
      <c r="V52" s="25"/>
    </row>
    <row r="53" spans="1:22" ht="15.75" customHeight="1">
      <c r="A53" s="25"/>
      <c r="B53" s="10" t="s">
        <v>27</v>
      </c>
      <c r="C53" s="10"/>
      <c r="D53" s="115"/>
      <c r="E53" s="116"/>
      <c r="F53" s="116"/>
      <c r="G53" s="116"/>
      <c r="H53" s="116"/>
      <c r="I53" s="35" t="s">
        <v>43</v>
      </c>
      <c r="J53" s="35"/>
      <c r="K53" s="35"/>
      <c r="L53" s="35"/>
      <c r="M53" s="35"/>
      <c r="N53" s="35"/>
      <c r="O53" s="35"/>
      <c r="P53" s="10"/>
      <c r="Q53" s="10"/>
      <c r="R53" s="10"/>
      <c r="S53" s="10"/>
      <c r="T53" s="10"/>
      <c r="U53" s="10"/>
      <c r="V53" s="25"/>
    </row>
    <row r="54" spans="1:22" ht="15.75" customHeight="1">
      <c r="A54" s="25"/>
      <c r="B54" s="10" t="s">
        <v>26</v>
      </c>
      <c r="C54" s="10"/>
      <c r="D54" s="115"/>
      <c r="E54" s="116"/>
      <c r="F54" s="116"/>
      <c r="G54" s="116"/>
      <c r="H54" s="116"/>
      <c r="I54" s="35"/>
      <c r="J54" s="35"/>
      <c r="K54" s="35"/>
      <c r="L54" s="35"/>
      <c r="M54" s="35"/>
      <c r="N54" s="117"/>
      <c r="O54" s="117"/>
      <c r="P54" s="10"/>
      <c r="Q54" s="10"/>
      <c r="R54" s="10"/>
      <c r="S54" s="10"/>
      <c r="T54" s="10"/>
      <c r="U54" s="10"/>
      <c r="V54" s="25"/>
    </row>
    <row r="55" spans="1:22" ht="12.75">
      <c r="A55" s="25"/>
      <c r="B55" s="10"/>
      <c r="C55" s="10"/>
      <c r="D55" s="39"/>
      <c r="E55" s="10"/>
      <c r="F55" s="10"/>
      <c r="G55" s="10"/>
      <c r="H55" s="10"/>
      <c r="I55" s="36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0.75" customHeight="1">
      <c r="A56" s="25"/>
      <c r="B56" s="10"/>
      <c r="C56" s="10"/>
      <c r="D56" s="39"/>
      <c r="E56" s="10"/>
      <c r="F56" s="10"/>
      <c r="G56" s="10"/>
      <c r="H56" s="10"/>
      <c r="I56" s="118"/>
      <c r="J56" s="36"/>
      <c r="K56" s="36"/>
      <c r="L56" s="36"/>
      <c r="M56" s="36"/>
      <c r="N56" s="36"/>
      <c r="O56" s="36"/>
      <c r="P56" s="10"/>
      <c r="Q56" s="10"/>
      <c r="R56" s="10"/>
      <c r="S56" s="10"/>
      <c r="T56" s="10"/>
      <c r="U56" s="10"/>
      <c r="V56" s="25"/>
    </row>
    <row r="57" spans="1:22" ht="14.25" customHeight="1" hidden="1">
      <c r="A57" s="25"/>
      <c r="B57" s="10"/>
      <c r="C57" s="10"/>
      <c r="D57" s="39"/>
      <c r="E57" s="10"/>
      <c r="F57" s="10"/>
      <c r="G57" s="10"/>
      <c r="H57" s="10"/>
      <c r="I57" s="36"/>
      <c r="J57" s="36"/>
      <c r="K57" s="36"/>
      <c r="L57" s="36"/>
      <c r="M57" s="36"/>
      <c r="N57" s="36"/>
      <c r="O57" s="36"/>
      <c r="P57" s="10"/>
      <c r="Q57" s="10"/>
      <c r="R57" s="10"/>
      <c r="S57" s="10"/>
      <c r="T57" s="10"/>
      <c r="U57" s="10"/>
      <c r="V57" s="25"/>
    </row>
    <row r="58" spans="1:22" ht="13.5" customHeight="1" hidden="1">
      <c r="A58" s="25"/>
      <c r="B58" s="10"/>
      <c r="C58" s="10"/>
      <c r="D58" s="10"/>
      <c r="E58" s="10"/>
      <c r="F58" s="10"/>
      <c r="G58" s="10"/>
      <c r="H58" s="10"/>
      <c r="I58" s="37"/>
      <c r="J58" s="37"/>
      <c r="K58" s="37"/>
      <c r="L58" s="37"/>
      <c r="M58" s="37"/>
      <c r="N58" s="37"/>
      <c r="O58" s="37"/>
      <c r="P58" s="10"/>
      <c r="Q58" s="10"/>
      <c r="R58" s="10"/>
      <c r="S58" s="10"/>
      <c r="T58" s="10"/>
      <c r="U58" s="10"/>
      <c r="V58" s="25"/>
    </row>
    <row r="59" spans="2:21" s="25" customFormat="1" ht="12.75" customHeight="1">
      <c r="B59" s="10" t="s">
        <v>14</v>
      </c>
      <c r="C59" s="39"/>
      <c r="D59" s="119"/>
      <c r="E59" s="120"/>
      <c r="F59" s="10"/>
      <c r="G59" s="10"/>
      <c r="H59" s="10"/>
      <c r="I59" s="37"/>
      <c r="J59" s="37"/>
      <c r="K59" s="37"/>
      <c r="L59" s="37"/>
      <c r="M59" s="37"/>
      <c r="N59" s="37"/>
      <c r="O59" s="37"/>
      <c r="P59" s="10"/>
      <c r="Q59" s="10"/>
      <c r="R59" s="10"/>
      <c r="S59" s="10"/>
      <c r="T59" s="10"/>
      <c r="U59" s="10"/>
    </row>
    <row r="60" spans="1:21" s="25" customFormat="1" ht="9.75" customHeight="1">
      <c r="A60" s="121"/>
      <c r="B60" s="122" t="s">
        <v>20</v>
      </c>
      <c r="C60" s="10"/>
      <c r="D60" s="10"/>
      <c r="E60" s="123"/>
      <c r="F60" s="123"/>
      <c r="G60" s="123"/>
      <c r="H60" s="124"/>
      <c r="I60" s="38"/>
      <c r="J60" s="38"/>
      <c r="K60" s="38"/>
      <c r="L60" s="38"/>
      <c r="M60" s="38"/>
      <c r="N60" s="38"/>
      <c r="O60" s="38"/>
      <c r="P60" s="10"/>
      <c r="Q60" s="10"/>
      <c r="R60" s="10"/>
      <c r="S60" s="10"/>
      <c r="T60" s="10"/>
      <c r="U60" s="10"/>
    </row>
    <row r="61" spans="2:21" s="25" customFormat="1" ht="12.75">
      <c r="B61" s="39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38"/>
      <c r="G63" s="38"/>
      <c r="H63" s="38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125"/>
      <c r="G65" s="125"/>
      <c r="H65" s="125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1:21" s="25" customFormat="1" ht="17.25">
      <c r="A66" s="121"/>
      <c r="B66" s="121"/>
      <c r="C66" s="126"/>
      <c r="D66" s="126"/>
      <c r="E66" s="126"/>
      <c r="F66" s="126"/>
      <c r="G66" s="126"/>
      <c r="H66" s="126"/>
      <c r="I66" s="39"/>
      <c r="J66" s="39"/>
      <c r="K66" s="39"/>
      <c r="L66" s="39"/>
      <c r="M66" s="39"/>
      <c r="N66" s="39"/>
      <c r="O66" s="39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38"/>
      <c r="F68" s="38"/>
      <c r="G68" s="38"/>
      <c r="H68" s="3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38"/>
      <c r="F69" s="38"/>
      <c r="G69" s="38"/>
      <c r="H69" s="3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1:21" s="25" customFormat="1" ht="17.25">
      <c r="A70" s="127"/>
      <c r="B70" s="10"/>
      <c r="C70" s="10"/>
      <c r="D70" s="10"/>
      <c r="E70" s="124"/>
      <c r="F70" s="124"/>
      <c r="G70" s="124"/>
      <c r="H70" s="124"/>
      <c r="I70" s="38"/>
      <c r="J70" s="38"/>
      <c r="K70" s="38"/>
      <c r="L70" s="38"/>
      <c r="M70" s="38"/>
      <c r="N70" s="38"/>
      <c r="O70" s="38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15"/>
      <c r="E72" s="116"/>
      <c r="F72" s="128"/>
      <c r="G72" s="128"/>
      <c r="H72" s="128"/>
      <c r="I72" s="35"/>
      <c r="J72" s="35"/>
      <c r="K72" s="35"/>
      <c r="L72" s="35"/>
      <c r="M72" s="35"/>
      <c r="N72" s="35"/>
      <c r="O72" s="35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28"/>
      <c r="G73" s="128"/>
      <c r="H73" s="128"/>
      <c r="I73" s="35"/>
      <c r="J73" s="35"/>
      <c r="K73" s="35"/>
      <c r="L73" s="35"/>
      <c r="M73" s="35"/>
      <c r="N73" s="35"/>
      <c r="O73" s="35"/>
      <c r="P73" s="10"/>
      <c r="Q73" s="10"/>
      <c r="R73" s="10"/>
      <c r="S73" s="10"/>
      <c r="T73" s="10"/>
      <c r="U73" s="10"/>
    </row>
    <row r="74" spans="1:21" s="25" customFormat="1" ht="17.25">
      <c r="A74" s="121"/>
      <c r="B74" s="121"/>
      <c r="C74" s="121"/>
      <c r="D74" s="121"/>
      <c r="E74" s="121"/>
      <c r="F74" s="121"/>
      <c r="G74" s="121"/>
      <c r="H74" s="129"/>
      <c r="I74" s="13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2:21" s="25" customFormat="1" ht="12.75">
      <c r="B76" s="10"/>
      <c r="C76" s="10"/>
      <c r="D76" s="115"/>
      <c r="E76" s="116"/>
      <c r="F76" s="116"/>
      <c r="G76" s="116"/>
      <c r="H76" s="116"/>
      <c r="I76" s="35"/>
      <c r="J76" s="35"/>
      <c r="K76" s="35"/>
      <c r="L76" s="35"/>
      <c r="M76" s="35"/>
      <c r="N76" s="117"/>
      <c r="O76" s="117"/>
      <c r="P76" s="10"/>
      <c r="Q76" s="10"/>
      <c r="R76" s="10"/>
      <c r="S76" s="10"/>
      <c r="T76" s="10"/>
      <c r="U76" s="10"/>
    </row>
    <row r="77" spans="2:21" s="25" customFormat="1" ht="12.75">
      <c r="B77" s="10"/>
      <c r="C77" s="10"/>
      <c r="D77" s="39"/>
      <c r="E77" s="10"/>
      <c r="F77" s="10"/>
      <c r="G77" s="10"/>
      <c r="H77" s="10"/>
      <c r="I77" s="36"/>
      <c r="J77" s="36"/>
      <c r="K77" s="36"/>
      <c r="L77" s="36"/>
      <c r="M77" s="36"/>
      <c r="N77" s="36"/>
      <c r="O77" s="36"/>
      <c r="P77" s="10"/>
      <c r="Q77" s="10"/>
      <c r="R77" s="10"/>
      <c r="T77" s="10"/>
      <c r="U77" s="10"/>
    </row>
    <row r="78" s="25" customFormat="1" ht="12.75">
      <c r="S78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zoomScalePageLayoutView="0" workbookViewId="0" topLeftCell="F6">
      <pane ySplit="3096" topLeftCell="A1" activePane="bottomLeft" state="split"/>
      <selection pane="topLeft" activeCell="N8" sqref="N8"/>
      <selection pane="bottomLeft" activeCell="O8" sqref="O8"/>
    </sheetView>
  </sheetViews>
  <sheetFormatPr defaultColWidth="9.125" defaultRowHeight="12.75"/>
  <cols>
    <col min="1" max="1" width="3.625" style="8" customWidth="1"/>
    <col min="2" max="2" width="7.50390625" style="8" customWidth="1"/>
    <col min="3" max="3" width="15.5039062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375" style="8" customWidth="1"/>
    <col min="9" max="9" width="16.50390625" style="8" customWidth="1"/>
    <col min="10" max="10" width="15.625" style="8" customWidth="1"/>
    <col min="11" max="12" width="13.125" style="8" hidden="1" customWidth="1"/>
    <col min="13" max="13" width="14.50390625" style="8" customWidth="1"/>
    <col min="14" max="14" width="17.50390625" style="8" customWidth="1"/>
    <col min="15" max="15" width="18.00390625" style="8" customWidth="1"/>
    <col min="16" max="16" width="6.50390625" style="8" customWidth="1"/>
    <col min="17" max="17" width="14.00390625" style="8" customWidth="1"/>
    <col min="18" max="18" width="13.50390625" style="8" customWidth="1"/>
    <col min="19" max="20" width="14.125" style="8" customWidth="1"/>
    <col min="21" max="21" width="17.00390625" style="8" customWidth="1"/>
    <col min="22" max="22" width="2.50390625" style="8" hidden="1" customWidth="1"/>
    <col min="23" max="23" width="15.125" style="8" hidden="1" customWidth="1"/>
    <col min="24" max="24" width="12.875" style="8" hidden="1" customWidth="1"/>
    <col min="25" max="25" width="11.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80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36</v>
      </c>
      <c r="K8" s="11" t="s">
        <v>70</v>
      </c>
      <c r="L8" s="11" t="s">
        <v>71</v>
      </c>
      <c r="M8" s="11" t="s">
        <v>40</v>
      </c>
      <c r="N8" s="11" t="s">
        <v>86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/>
      <c r="R23" s="5"/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/>
      <c r="K30" s="134">
        <v>4158000</v>
      </c>
      <c r="L30" s="134">
        <v>1782000</v>
      </c>
      <c r="M30" s="135">
        <v>785000</v>
      </c>
      <c r="N30" s="52">
        <f aca="true" t="shared" si="2" ref="N30:N37">I30+J30-M30</f>
        <v>4695000</v>
      </c>
      <c r="O30" s="149">
        <f t="shared" si="0"/>
        <v>4695000</v>
      </c>
      <c r="P30" s="136"/>
      <c r="Q30" s="136"/>
      <c r="R30" s="150"/>
      <c r="S30" s="137"/>
      <c r="T30" s="32">
        <f t="shared" si="1"/>
        <v>0</v>
      </c>
      <c r="U30" s="48">
        <f aca="true" t="shared" si="3" ref="U30:U37">O30+T30</f>
        <v>4695000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/>
      <c r="K31" s="134"/>
      <c r="L31" s="134"/>
      <c r="M31" s="135">
        <v>500000</v>
      </c>
      <c r="N31" s="52">
        <f t="shared" si="2"/>
        <v>5500000</v>
      </c>
      <c r="O31" s="149">
        <f t="shared" si="0"/>
        <v>5500000</v>
      </c>
      <c r="P31" s="136"/>
      <c r="Q31" s="136"/>
      <c r="R31" s="150"/>
      <c r="S31" s="137"/>
      <c r="T31" s="32">
        <f t="shared" si="1"/>
        <v>0</v>
      </c>
      <c r="U31" s="48">
        <f>O31+T31</f>
        <v>5500000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/>
      <c r="S32" s="137"/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/>
      <c r="K33" s="134">
        <v>5497800</v>
      </c>
      <c r="L33" s="134">
        <v>2356200</v>
      </c>
      <c r="M33" s="135">
        <v>714000</v>
      </c>
      <c r="N33" s="52">
        <f t="shared" si="2"/>
        <v>11432000</v>
      </c>
      <c r="O33" s="149">
        <f t="shared" si="0"/>
        <v>11432000</v>
      </c>
      <c r="P33" s="136"/>
      <c r="Q33" s="136"/>
      <c r="R33" s="150"/>
      <c r="S33" s="137"/>
      <c r="T33" s="32">
        <f t="shared" si="1"/>
        <v>0</v>
      </c>
      <c r="U33" s="48">
        <f t="shared" si="3"/>
        <v>11432000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/>
      <c r="K34" s="134">
        <v>354200</v>
      </c>
      <c r="L34" s="134">
        <v>151800</v>
      </c>
      <c r="M34" s="135">
        <v>46000</v>
      </c>
      <c r="N34" s="52">
        <f t="shared" si="2"/>
        <v>848000</v>
      </c>
      <c r="O34" s="149">
        <f t="shared" si="0"/>
        <v>848000</v>
      </c>
      <c r="P34" s="136"/>
      <c r="Q34" s="136"/>
      <c r="R34" s="150"/>
      <c r="S34" s="137"/>
      <c r="T34" s="32">
        <f t="shared" si="1"/>
        <v>0</v>
      </c>
      <c r="U34" s="48">
        <f>O34+T34</f>
        <v>848000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/>
      <c r="K35" s="134">
        <v>2156000</v>
      </c>
      <c r="L35" s="134">
        <v>924000</v>
      </c>
      <c r="M35" s="135">
        <v>280000</v>
      </c>
      <c r="N35" s="52">
        <f t="shared" si="2"/>
        <v>6640000</v>
      </c>
      <c r="O35" s="149">
        <f t="shared" si="0"/>
        <v>6640000</v>
      </c>
      <c r="P35" s="155" t="s">
        <v>61</v>
      </c>
      <c r="Q35" s="136"/>
      <c r="R35" s="150"/>
      <c r="S35" s="137"/>
      <c r="T35" s="32">
        <f t="shared" si="1"/>
        <v>0</v>
      </c>
      <c r="U35" s="48">
        <f t="shared" si="3"/>
        <v>6640000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/>
      <c r="S37" s="137"/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53604000</v>
      </c>
      <c r="J38" s="133">
        <f>SUM(J23:J37)</f>
        <v>0</v>
      </c>
      <c r="K38" s="133">
        <f aca="true" t="shared" si="4" ref="K38:Q38">SUM(K23:K37)</f>
        <v>12166000</v>
      </c>
      <c r="L38" s="133">
        <f t="shared" si="4"/>
        <v>5214000</v>
      </c>
      <c r="M38" s="133">
        <f t="shared" si="4"/>
        <v>2325000</v>
      </c>
      <c r="N38" s="133">
        <f t="shared" si="4"/>
        <v>51279000</v>
      </c>
      <c r="O38" s="133">
        <f t="shared" si="4"/>
        <v>51279000</v>
      </c>
      <c r="P38" s="133">
        <f>SUM(P23:P37)</f>
        <v>0</v>
      </c>
      <c r="Q38" s="133">
        <f t="shared" si="4"/>
        <v>0</v>
      </c>
      <c r="R38" s="133">
        <f>SUM(R23:R37)</f>
        <v>0</v>
      </c>
      <c r="S38" s="133">
        <f>SUM(S23:S37)</f>
        <v>0</v>
      </c>
      <c r="T38" s="133">
        <f>SUM(T23:T37)</f>
        <v>0</v>
      </c>
      <c r="U38" s="133">
        <f>SUM(U23:U37)</f>
        <v>51279000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/>
      <c r="R40" s="3"/>
      <c r="S40" s="3"/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16000000</v>
      </c>
      <c r="J41" s="152">
        <v>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v>132282.52</v>
      </c>
      <c r="S41" s="3">
        <v>132282.52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26000000</v>
      </c>
      <c r="J42" s="5">
        <f aca="true" t="shared" si="5" ref="J42:AY42">J40+J41</f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</v>
      </c>
      <c r="R42" s="5">
        <f t="shared" si="5"/>
        <v>132282.52</v>
      </c>
      <c r="S42" s="5">
        <f t="shared" si="5"/>
        <v>132282.52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79604000</v>
      </c>
      <c r="J46" s="23">
        <f t="shared" si="6"/>
        <v>0</v>
      </c>
      <c r="K46" s="23">
        <f t="shared" si="6"/>
        <v>12166000</v>
      </c>
      <c r="L46" s="23">
        <f t="shared" si="6"/>
        <v>5214000</v>
      </c>
      <c r="M46" s="23">
        <f t="shared" si="6"/>
        <v>2325000</v>
      </c>
      <c r="N46" s="23">
        <f t="shared" si="6"/>
        <v>77279000</v>
      </c>
      <c r="O46" s="23">
        <f t="shared" si="6"/>
        <v>77279000</v>
      </c>
      <c r="P46" s="23">
        <f t="shared" si="6"/>
        <v>0</v>
      </c>
      <c r="Q46" s="23">
        <f t="shared" si="6"/>
        <v>0</v>
      </c>
      <c r="R46" s="23">
        <f t="shared" si="6"/>
        <v>132282.52</v>
      </c>
      <c r="S46" s="23">
        <f t="shared" si="6"/>
        <v>132282.52</v>
      </c>
      <c r="T46" s="23">
        <f t="shared" si="6"/>
        <v>0</v>
      </c>
      <c r="U46" s="23">
        <f t="shared" si="6"/>
        <v>77279000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7.2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7.2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7.2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zoomScalePageLayoutView="0" workbookViewId="0" topLeftCell="A37">
      <selection activeCell="S40" sqref="S40"/>
    </sheetView>
  </sheetViews>
  <sheetFormatPr defaultColWidth="9.125" defaultRowHeight="12.75"/>
  <cols>
    <col min="1" max="1" width="3.625" style="8" customWidth="1"/>
    <col min="2" max="2" width="7.50390625" style="8" customWidth="1"/>
    <col min="3" max="3" width="15.5039062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375" style="8" customWidth="1"/>
    <col min="9" max="9" width="16.50390625" style="8" customWidth="1"/>
    <col min="10" max="10" width="15.625" style="8" customWidth="1"/>
    <col min="11" max="12" width="13.125" style="8" hidden="1" customWidth="1"/>
    <col min="13" max="13" width="14.50390625" style="8" customWidth="1"/>
    <col min="14" max="14" width="17.50390625" style="8" customWidth="1"/>
    <col min="15" max="15" width="18.00390625" style="8" customWidth="1"/>
    <col min="16" max="16" width="6.50390625" style="8" customWidth="1"/>
    <col min="17" max="17" width="14.00390625" style="8" customWidth="1"/>
    <col min="18" max="18" width="13.50390625" style="8" customWidth="1"/>
    <col min="19" max="20" width="14.125" style="8" customWidth="1"/>
    <col min="21" max="21" width="17.00390625" style="8" customWidth="1"/>
    <col min="22" max="22" width="2.50390625" style="8" hidden="1" customWidth="1"/>
    <col min="23" max="23" width="15.125" style="8" hidden="1" customWidth="1"/>
    <col min="24" max="24" width="12.875" style="8" hidden="1" customWidth="1"/>
    <col min="25" max="25" width="11.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82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83</v>
      </c>
      <c r="K8" s="11" t="s">
        <v>70</v>
      </c>
      <c r="L8" s="11" t="s">
        <v>71</v>
      </c>
      <c r="M8" s="11" t="s">
        <v>84</v>
      </c>
      <c r="N8" s="11" t="s">
        <v>85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/>
      <c r="R23" s="5"/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/>
      <c r="K30" s="134">
        <v>4158000</v>
      </c>
      <c r="L30" s="134">
        <v>1782000</v>
      </c>
      <c r="M30" s="135">
        <f>785000+785000</f>
        <v>1570000</v>
      </c>
      <c r="N30" s="52">
        <f aca="true" t="shared" si="2" ref="N30:N37">I30+J30-M30</f>
        <v>3910000</v>
      </c>
      <c r="O30" s="149">
        <f t="shared" si="0"/>
        <v>3910000</v>
      </c>
      <c r="P30" s="136"/>
      <c r="Q30" s="136"/>
      <c r="R30" s="150">
        <v>11244.19</v>
      </c>
      <c r="S30" s="150">
        <v>11244.19</v>
      </c>
      <c r="T30" s="32">
        <f t="shared" si="1"/>
        <v>0</v>
      </c>
      <c r="U30" s="48">
        <f aca="true" t="shared" si="3" ref="U30:U37">O30+T30</f>
        <v>3910000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/>
      <c r="K31" s="134"/>
      <c r="L31" s="134"/>
      <c r="M31" s="135">
        <f>500000+500000</f>
        <v>1000000</v>
      </c>
      <c r="N31" s="52">
        <f t="shared" si="2"/>
        <v>5000000</v>
      </c>
      <c r="O31" s="149">
        <f t="shared" si="0"/>
        <v>5000000</v>
      </c>
      <c r="P31" s="136"/>
      <c r="Q31" s="136"/>
      <c r="R31" s="150">
        <v>12667.32</v>
      </c>
      <c r="S31" s="150">
        <v>12667.32</v>
      </c>
      <c r="T31" s="32">
        <f t="shared" si="1"/>
        <v>0</v>
      </c>
      <c r="U31" s="48">
        <f>O31+T31</f>
        <v>5000000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/>
      <c r="S32" s="137"/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/>
      <c r="K33" s="134">
        <v>5497800</v>
      </c>
      <c r="L33" s="134">
        <v>2356200</v>
      </c>
      <c r="M33" s="135">
        <f>714000+714000</f>
        <v>1428000</v>
      </c>
      <c r="N33" s="52">
        <f t="shared" si="2"/>
        <v>10718000</v>
      </c>
      <c r="O33" s="149">
        <f t="shared" si="0"/>
        <v>10718000</v>
      </c>
      <c r="P33" s="136"/>
      <c r="Q33" s="136"/>
      <c r="R33" s="150"/>
      <c r="S33" s="137"/>
      <c r="T33" s="32">
        <f t="shared" si="1"/>
        <v>0</v>
      </c>
      <c r="U33" s="48">
        <f t="shared" si="3"/>
        <v>10718000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/>
      <c r="K34" s="134">
        <v>354200</v>
      </c>
      <c r="L34" s="134">
        <v>151800</v>
      </c>
      <c r="M34" s="135">
        <f>46000+46000</f>
        <v>92000</v>
      </c>
      <c r="N34" s="52">
        <f t="shared" si="2"/>
        <v>802000</v>
      </c>
      <c r="O34" s="149">
        <f t="shared" si="0"/>
        <v>802000</v>
      </c>
      <c r="P34" s="136"/>
      <c r="Q34" s="136"/>
      <c r="R34" s="150"/>
      <c r="S34" s="137"/>
      <c r="T34" s="32">
        <f t="shared" si="1"/>
        <v>0</v>
      </c>
      <c r="U34" s="48">
        <f>O34+T34</f>
        <v>802000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/>
      <c r="K35" s="134">
        <v>2156000</v>
      </c>
      <c r="L35" s="134">
        <v>924000</v>
      </c>
      <c r="M35" s="135">
        <f>280000+280000</f>
        <v>560000</v>
      </c>
      <c r="N35" s="52">
        <f t="shared" si="2"/>
        <v>6360000</v>
      </c>
      <c r="O35" s="149">
        <f t="shared" si="0"/>
        <v>6360000</v>
      </c>
      <c r="P35" s="155" t="s">
        <v>61</v>
      </c>
      <c r="Q35" s="136"/>
      <c r="R35" s="150"/>
      <c r="S35" s="137"/>
      <c r="T35" s="32">
        <f t="shared" si="1"/>
        <v>0</v>
      </c>
      <c r="U35" s="48">
        <f t="shared" si="3"/>
        <v>6360000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/>
      <c r="S37" s="137"/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53604000</v>
      </c>
      <c r="J38" s="133">
        <f>SUM(J23:J37)</f>
        <v>0</v>
      </c>
      <c r="K38" s="133">
        <f aca="true" t="shared" si="4" ref="K38:Q38">SUM(K23:K37)</f>
        <v>12166000</v>
      </c>
      <c r="L38" s="133">
        <f t="shared" si="4"/>
        <v>5214000</v>
      </c>
      <c r="M38" s="133">
        <f t="shared" si="4"/>
        <v>4650000</v>
      </c>
      <c r="N38" s="133">
        <f t="shared" si="4"/>
        <v>48954000</v>
      </c>
      <c r="O38" s="133">
        <f t="shared" si="4"/>
        <v>48954000</v>
      </c>
      <c r="P38" s="133">
        <f>SUM(P23:P37)</f>
        <v>0</v>
      </c>
      <c r="Q38" s="133">
        <f t="shared" si="4"/>
        <v>0</v>
      </c>
      <c r="R38" s="133">
        <f>SUM(R23:R37)</f>
        <v>23911.510000000002</v>
      </c>
      <c r="S38" s="133">
        <f>SUM(S23:S37)</f>
        <v>23911.510000000002</v>
      </c>
      <c r="T38" s="133">
        <f>SUM(T23:T37)</f>
        <v>0</v>
      </c>
      <c r="U38" s="133">
        <f>SUM(U23:U37)</f>
        <v>48954000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/>
      <c r="R40" s="3">
        <v>80050.6</v>
      </c>
      <c r="S40" s="3">
        <v>80050.6</v>
      </c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16000000</v>
      </c>
      <c r="J41" s="152">
        <v>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f>132282.52+119480.99</f>
        <v>251763.51</v>
      </c>
      <c r="S41" s="3">
        <f>132282.52+119480.99</f>
        <v>251763.51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26000000</v>
      </c>
      <c r="J42" s="5">
        <f aca="true" t="shared" si="5" ref="J42:AY42">J40+J41</f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</v>
      </c>
      <c r="R42" s="5">
        <f t="shared" si="5"/>
        <v>331814.11</v>
      </c>
      <c r="S42" s="5">
        <f t="shared" si="5"/>
        <v>331814.11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79604000</v>
      </c>
      <c r="J46" s="23">
        <f t="shared" si="6"/>
        <v>0</v>
      </c>
      <c r="K46" s="23">
        <f t="shared" si="6"/>
        <v>12166000</v>
      </c>
      <c r="L46" s="23">
        <f t="shared" si="6"/>
        <v>5214000</v>
      </c>
      <c r="M46" s="23">
        <f t="shared" si="6"/>
        <v>4650000</v>
      </c>
      <c r="N46" s="23">
        <f t="shared" si="6"/>
        <v>74954000</v>
      </c>
      <c r="O46" s="23">
        <f t="shared" si="6"/>
        <v>74954000</v>
      </c>
      <c r="P46" s="23">
        <f t="shared" si="6"/>
        <v>0</v>
      </c>
      <c r="Q46" s="23">
        <f t="shared" si="6"/>
        <v>0</v>
      </c>
      <c r="R46" s="23">
        <f t="shared" si="6"/>
        <v>355725.62</v>
      </c>
      <c r="S46" s="23">
        <f t="shared" si="6"/>
        <v>355725.62</v>
      </c>
      <c r="T46" s="23">
        <f t="shared" si="6"/>
        <v>0</v>
      </c>
      <c r="U46" s="23">
        <f t="shared" si="6"/>
        <v>74954000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7.2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7.2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7.2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zoomScalePageLayoutView="0" workbookViewId="0" topLeftCell="A1">
      <pane xSplit="21168" topLeftCell="O1" activePane="topLeft" state="split"/>
      <selection pane="topLeft" activeCell="R32" sqref="R32"/>
      <selection pane="topRight" activeCell="O22" sqref="O22"/>
    </sheetView>
  </sheetViews>
  <sheetFormatPr defaultColWidth="9.125" defaultRowHeight="12.75"/>
  <cols>
    <col min="1" max="1" width="3.625" style="8" customWidth="1"/>
    <col min="2" max="2" width="7.50390625" style="8" customWidth="1"/>
    <col min="3" max="3" width="15.5039062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375" style="8" customWidth="1"/>
    <col min="9" max="9" width="16.50390625" style="8" customWidth="1"/>
    <col min="10" max="10" width="15.625" style="8" customWidth="1"/>
    <col min="11" max="12" width="13.125" style="8" hidden="1" customWidth="1"/>
    <col min="13" max="13" width="14.50390625" style="8" customWidth="1"/>
    <col min="14" max="14" width="17.50390625" style="8" customWidth="1"/>
    <col min="15" max="15" width="18.00390625" style="8" customWidth="1"/>
    <col min="16" max="16" width="6.50390625" style="8" customWidth="1"/>
    <col min="17" max="17" width="14.00390625" style="8" customWidth="1"/>
    <col min="18" max="18" width="13.50390625" style="8" customWidth="1"/>
    <col min="19" max="20" width="14.125" style="8" customWidth="1"/>
    <col min="21" max="21" width="17.00390625" style="8" customWidth="1"/>
    <col min="22" max="22" width="2.50390625" style="8" hidden="1" customWidth="1"/>
    <col min="23" max="23" width="15.125" style="8" hidden="1" customWidth="1"/>
    <col min="24" max="24" width="12.875" style="8" hidden="1" customWidth="1"/>
    <col min="25" max="25" width="11.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87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89</v>
      </c>
      <c r="K8" s="11" t="s">
        <v>70</v>
      </c>
      <c r="L8" s="11" t="s">
        <v>71</v>
      </c>
      <c r="M8" s="11" t="s">
        <v>90</v>
      </c>
      <c r="N8" s="11" t="s">
        <v>88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/>
      <c r="R23" s="5"/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/>
      <c r="K30" s="134">
        <v>4158000</v>
      </c>
      <c r="L30" s="134">
        <v>1782000</v>
      </c>
      <c r="M30" s="135">
        <f>785000+785000+785000</f>
        <v>2355000</v>
      </c>
      <c r="N30" s="52">
        <f aca="true" t="shared" si="2" ref="N30:N37">I30+J30-M30</f>
        <v>3125000</v>
      </c>
      <c r="O30" s="149">
        <f t="shared" si="0"/>
        <v>3125000</v>
      </c>
      <c r="P30" s="136"/>
      <c r="Q30" s="136"/>
      <c r="R30" s="150">
        <f>11244.19+8136.45+7466.64</f>
        <v>26847.28</v>
      </c>
      <c r="S30" s="150">
        <f>11244.19+8136.45</f>
        <v>19380.64</v>
      </c>
      <c r="T30" s="32">
        <f t="shared" si="1"/>
        <v>7466.639999999999</v>
      </c>
      <c r="U30" s="48">
        <f aca="true" t="shared" si="3" ref="U30:U37">O30+T30</f>
        <v>3132466.64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/>
      <c r="K31" s="134"/>
      <c r="L31" s="134"/>
      <c r="M31" s="135">
        <f>500000+500000+500000</f>
        <v>1500000</v>
      </c>
      <c r="N31" s="52">
        <f t="shared" si="2"/>
        <v>4500000</v>
      </c>
      <c r="O31" s="149">
        <f t="shared" si="0"/>
        <v>4500000</v>
      </c>
      <c r="P31" s="136"/>
      <c r="Q31" s="136"/>
      <c r="R31" s="150">
        <f>12667.32+10155.08+10261.23</f>
        <v>33083.630000000005</v>
      </c>
      <c r="S31" s="150">
        <f>12667.32+10155.08</f>
        <v>22822.4</v>
      </c>
      <c r="T31" s="32">
        <f t="shared" si="1"/>
        <v>10261.230000000003</v>
      </c>
      <c r="U31" s="48">
        <f>O31+T31</f>
        <v>4510261.23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/>
      <c r="S32" s="137"/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/>
      <c r="K33" s="134">
        <v>5497800</v>
      </c>
      <c r="L33" s="134">
        <v>2356200</v>
      </c>
      <c r="M33" s="135">
        <f>714000+714000+714000</f>
        <v>2142000</v>
      </c>
      <c r="N33" s="52">
        <f t="shared" si="2"/>
        <v>10004000</v>
      </c>
      <c r="O33" s="149">
        <f t="shared" si="0"/>
        <v>10004000</v>
      </c>
      <c r="P33" s="136"/>
      <c r="Q33" s="136"/>
      <c r="R33" s="150"/>
      <c r="S33" s="137"/>
      <c r="T33" s="32">
        <f t="shared" si="1"/>
        <v>0</v>
      </c>
      <c r="U33" s="48">
        <f t="shared" si="3"/>
        <v>10004000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/>
      <c r="K34" s="134">
        <v>354200</v>
      </c>
      <c r="L34" s="134">
        <v>151800</v>
      </c>
      <c r="M34" s="135">
        <f>46000+46000+46000</f>
        <v>138000</v>
      </c>
      <c r="N34" s="52">
        <f t="shared" si="2"/>
        <v>756000</v>
      </c>
      <c r="O34" s="149">
        <f t="shared" si="0"/>
        <v>756000</v>
      </c>
      <c r="P34" s="136"/>
      <c r="Q34" s="136"/>
      <c r="R34" s="150"/>
      <c r="S34" s="137"/>
      <c r="T34" s="32">
        <f t="shared" si="1"/>
        <v>0</v>
      </c>
      <c r="U34" s="48">
        <f>O34+T34</f>
        <v>756000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/>
      <c r="K35" s="134">
        <v>2156000</v>
      </c>
      <c r="L35" s="134">
        <v>924000</v>
      </c>
      <c r="M35" s="135">
        <f>280000+280000+280000</f>
        <v>840000</v>
      </c>
      <c r="N35" s="52">
        <f t="shared" si="2"/>
        <v>6080000</v>
      </c>
      <c r="O35" s="149">
        <f t="shared" si="0"/>
        <v>6080000</v>
      </c>
      <c r="P35" s="155" t="s">
        <v>61</v>
      </c>
      <c r="Q35" s="136"/>
      <c r="R35" s="150"/>
      <c r="S35" s="137"/>
      <c r="T35" s="32">
        <f t="shared" si="1"/>
        <v>0</v>
      </c>
      <c r="U35" s="48">
        <f t="shared" si="3"/>
        <v>6080000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/>
      <c r="S37" s="137"/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53604000</v>
      </c>
      <c r="J38" s="133">
        <f>SUM(J23:J37)</f>
        <v>0</v>
      </c>
      <c r="K38" s="133">
        <f aca="true" t="shared" si="4" ref="K38:Q38">SUM(K23:K37)</f>
        <v>12166000</v>
      </c>
      <c r="L38" s="133">
        <f t="shared" si="4"/>
        <v>5214000</v>
      </c>
      <c r="M38" s="133">
        <f t="shared" si="4"/>
        <v>6975000</v>
      </c>
      <c r="N38" s="133">
        <f t="shared" si="4"/>
        <v>46629000</v>
      </c>
      <c r="O38" s="133">
        <f t="shared" si="4"/>
        <v>46629000</v>
      </c>
      <c r="P38" s="133">
        <f>SUM(P23:P37)</f>
        <v>0</v>
      </c>
      <c r="Q38" s="133">
        <f t="shared" si="4"/>
        <v>0</v>
      </c>
      <c r="R38" s="133">
        <f>SUM(R23:R37)</f>
        <v>59930.91</v>
      </c>
      <c r="S38" s="133">
        <f>SUM(S23:S37)</f>
        <v>42203.04</v>
      </c>
      <c r="T38" s="133">
        <f>SUM(T23:T37)</f>
        <v>17727.870000000003</v>
      </c>
      <c r="U38" s="133">
        <f>SUM(U23:U37)</f>
        <v>46646727.870000005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/>
      <c r="R40" s="3">
        <f>80050.6+72303.77</f>
        <v>152354.37</v>
      </c>
      <c r="S40" s="3">
        <f>80050.6+72303.77</f>
        <v>152354.37</v>
      </c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16000000</v>
      </c>
      <c r="J41" s="152">
        <v>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f>132282.52+119480.99+132282.52</f>
        <v>384046.03</v>
      </c>
      <c r="S41" s="3">
        <f>132282.52+119480.99+132282.52</f>
        <v>384046.03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26000000</v>
      </c>
      <c r="J42" s="5">
        <f aca="true" t="shared" si="5" ref="J42:AY42">J40+J41</f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</v>
      </c>
      <c r="R42" s="5">
        <f t="shared" si="5"/>
        <v>536400.4</v>
      </c>
      <c r="S42" s="5">
        <f t="shared" si="5"/>
        <v>536400.4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79604000</v>
      </c>
      <c r="J46" s="23">
        <f t="shared" si="6"/>
        <v>0</v>
      </c>
      <c r="K46" s="23">
        <f t="shared" si="6"/>
        <v>12166000</v>
      </c>
      <c r="L46" s="23">
        <f t="shared" si="6"/>
        <v>5214000</v>
      </c>
      <c r="M46" s="23">
        <f t="shared" si="6"/>
        <v>6975000</v>
      </c>
      <c r="N46" s="23">
        <f t="shared" si="6"/>
        <v>72629000</v>
      </c>
      <c r="O46" s="23">
        <f t="shared" si="6"/>
        <v>72629000</v>
      </c>
      <c r="P46" s="23">
        <f t="shared" si="6"/>
        <v>0</v>
      </c>
      <c r="Q46" s="23">
        <f t="shared" si="6"/>
        <v>0</v>
      </c>
      <c r="R46" s="23">
        <f t="shared" si="6"/>
        <v>596331.31</v>
      </c>
      <c r="S46" s="23">
        <f t="shared" si="6"/>
        <v>578603.4400000001</v>
      </c>
      <c r="T46" s="23">
        <f t="shared" si="6"/>
        <v>17727.870000000003</v>
      </c>
      <c r="U46" s="23">
        <f t="shared" si="6"/>
        <v>72646727.87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7.2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7.2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7.2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zoomScalePageLayoutView="0" workbookViewId="0" topLeftCell="G1">
      <selection activeCell="Q30" sqref="Q30"/>
    </sheetView>
  </sheetViews>
  <sheetFormatPr defaultColWidth="9.125" defaultRowHeight="12.75"/>
  <cols>
    <col min="1" max="1" width="3.625" style="8" customWidth="1"/>
    <col min="2" max="2" width="7.50390625" style="8" customWidth="1"/>
    <col min="3" max="3" width="15.5039062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375" style="8" customWidth="1"/>
    <col min="9" max="9" width="16.50390625" style="8" customWidth="1"/>
    <col min="10" max="10" width="15.625" style="8" customWidth="1"/>
    <col min="11" max="12" width="13.125" style="8" hidden="1" customWidth="1"/>
    <col min="13" max="13" width="14.50390625" style="8" customWidth="1"/>
    <col min="14" max="14" width="17.50390625" style="8" customWidth="1"/>
    <col min="15" max="15" width="18.00390625" style="8" customWidth="1"/>
    <col min="16" max="16" width="6.50390625" style="8" customWidth="1"/>
    <col min="17" max="17" width="14.00390625" style="8" customWidth="1"/>
    <col min="18" max="18" width="13.50390625" style="8" customWidth="1"/>
    <col min="19" max="20" width="14.125" style="8" customWidth="1"/>
    <col min="21" max="21" width="17.00390625" style="8" customWidth="1"/>
    <col min="22" max="22" width="2.50390625" style="8" hidden="1" customWidth="1"/>
    <col min="23" max="23" width="15.125" style="8" hidden="1" customWidth="1"/>
    <col min="24" max="24" width="12.875" style="8" hidden="1" customWidth="1"/>
    <col min="25" max="25" width="11.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91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92</v>
      </c>
      <c r="K8" s="11" t="s">
        <v>70</v>
      </c>
      <c r="L8" s="11" t="s">
        <v>71</v>
      </c>
      <c r="M8" s="11" t="s">
        <v>93</v>
      </c>
      <c r="N8" s="11" t="s">
        <v>94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/>
      <c r="R23" s="5"/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/>
      <c r="K30" s="134">
        <v>4158000</v>
      </c>
      <c r="L30" s="134">
        <v>1782000</v>
      </c>
      <c r="M30" s="135">
        <f>785000+785000+785000+785000</f>
        <v>3140000</v>
      </c>
      <c r="N30" s="52">
        <f aca="true" t="shared" si="2" ref="N30:N37">I30+J30-M30</f>
        <v>2340000</v>
      </c>
      <c r="O30" s="149">
        <f t="shared" si="0"/>
        <v>2340000</v>
      </c>
      <c r="P30" s="136"/>
      <c r="Q30" s="136"/>
      <c r="R30" s="150">
        <f>11244.19+8136.45+7466.64+5356.72</f>
        <v>32204</v>
      </c>
      <c r="S30" s="150">
        <f>11244.19+8136.45+7466.64</f>
        <v>26847.28</v>
      </c>
      <c r="T30" s="32">
        <f t="shared" si="1"/>
        <v>5356.720000000001</v>
      </c>
      <c r="U30" s="48">
        <f aca="true" t="shared" si="3" ref="U30:U37">O30+T30</f>
        <v>2345356.72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/>
      <c r="K31" s="134"/>
      <c r="L31" s="134"/>
      <c r="M31" s="135">
        <f>500000+500000+500000+500000</f>
        <v>2000000</v>
      </c>
      <c r="N31" s="52">
        <f t="shared" si="2"/>
        <v>4000000</v>
      </c>
      <c r="O31" s="149">
        <f t="shared" si="0"/>
        <v>4000000</v>
      </c>
      <c r="P31" s="136"/>
      <c r="Q31" s="136"/>
      <c r="R31" s="150">
        <f>12667.32+10155.08+10261.23+8739.74</f>
        <v>41823.37</v>
      </c>
      <c r="S31" s="150">
        <f>12667.32+10155.08+10261.23</f>
        <v>33083.630000000005</v>
      </c>
      <c r="T31" s="32">
        <f t="shared" si="1"/>
        <v>8739.739999999998</v>
      </c>
      <c r="U31" s="48">
        <f>O31+T31</f>
        <v>4008739.74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/>
      <c r="S32" s="137"/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/>
      <c r="K33" s="134">
        <v>5497800</v>
      </c>
      <c r="L33" s="134">
        <v>2356200</v>
      </c>
      <c r="M33" s="135">
        <f>714000+714000+714000+714000</f>
        <v>2856000</v>
      </c>
      <c r="N33" s="52">
        <f t="shared" si="2"/>
        <v>9290000</v>
      </c>
      <c r="O33" s="149">
        <f t="shared" si="0"/>
        <v>9290000</v>
      </c>
      <c r="P33" s="136"/>
      <c r="Q33" s="136"/>
      <c r="R33" s="150"/>
      <c r="S33" s="137"/>
      <c r="T33" s="32">
        <f t="shared" si="1"/>
        <v>0</v>
      </c>
      <c r="U33" s="48">
        <f t="shared" si="3"/>
        <v>9290000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/>
      <c r="K34" s="134">
        <v>354200</v>
      </c>
      <c r="L34" s="134">
        <v>151800</v>
      </c>
      <c r="M34" s="135">
        <f>46000+46000+46000+46000</f>
        <v>184000</v>
      </c>
      <c r="N34" s="52">
        <f t="shared" si="2"/>
        <v>710000</v>
      </c>
      <c r="O34" s="149">
        <f t="shared" si="0"/>
        <v>710000</v>
      </c>
      <c r="P34" s="136"/>
      <c r="Q34" s="136"/>
      <c r="R34" s="150"/>
      <c r="S34" s="137"/>
      <c r="T34" s="32">
        <f t="shared" si="1"/>
        <v>0</v>
      </c>
      <c r="U34" s="48">
        <f>O34+T34</f>
        <v>710000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/>
      <c r="K35" s="134">
        <v>2156000</v>
      </c>
      <c r="L35" s="134">
        <v>924000</v>
      </c>
      <c r="M35" s="135">
        <f>280000+280000+280000+280000</f>
        <v>1120000</v>
      </c>
      <c r="N35" s="52">
        <f t="shared" si="2"/>
        <v>5800000</v>
      </c>
      <c r="O35" s="149">
        <f t="shared" si="0"/>
        <v>5800000</v>
      </c>
      <c r="P35" s="155" t="s">
        <v>61</v>
      </c>
      <c r="Q35" s="136"/>
      <c r="R35" s="150"/>
      <c r="S35" s="137"/>
      <c r="T35" s="32">
        <f t="shared" si="1"/>
        <v>0</v>
      </c>
      <c r="U35" s="48">
        <f t="shared" si="3"/>
        <v>5800000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/>
      <c r="S37" s="137"/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53604000</v>
      </c>
      <c r="J38" s="133">
        <f>SUM(J23:J37)</f>
        <v>0</v>
      </c>
      <c r="K38" s="133">
        <f aca="true" t="shared" si="4" ref="K38:Q38">SUM(K23:K37)</f>
        <v>12166000</v>
      </c>
      <c r="L38" s="133">
        <f t="shared" si="4"/>
        <v>5214000</v>
      </c>
      <c r="M38" s="133">
        <f t="shared" si="4"/>
        <v>9300000</v>
      </c>
      <c r="N38" s="133">
        <f t="shared" si="4"/>
        <v>44304000</v>
      </c>
      <c r="O38" s="133">
        <f t="shared" si="4"/>
        <v>44304000</v>
      </c>
      <c r="P38" s="133">
        <f>SUM(P23:P37)</f>
        <v>0</v>
      </c>
      <c r="Q38" s="133">
        <f t="shared" si="4"/>
        <v>0</v>
      </c>
      <c r="R38" s="133">
        <f>SUM(R23:R37)</f>
        <v>74027.37</v>
      </c>
      <c r="S38" s="133">
        <f>SUM(S23:S37)</f>
        <v>59930.91</v>
      </c>
      <c r="T38" s="133">
        <f>SUM(T23:T37)</f>
        <v>14096.46</v>
      </c>
      <c r="U38" s="133">
        <f>SUM(U23:U37)</f>
        <v>44318096.46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/>
      <c r="R40" s="3">
        <f>80050.6+72303.77+80050.59</f>
        <v>232404.96</v>
      </c>
      <c r="S40" s="3">
        <f>80050.6+72303.77+80050.59</f>
        <v>232404.96</v>
      </c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16000000</v>
      </c>
      <c r="J41" s="152">
        <v>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f>132282.52+119480.99+132282.52+128015.34</f>
        <v>512061.37</v>
      </c>
      <c r="S41" s="3">
        <f>132282.52+119480.99+132282.52+128015.34</f>
        <v>512061.37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26000000</v>
      </c>
      <c r="J42" s="5">
        <f aca="true" t="shared" si="5" ref="J42:AY42">J40+J41</f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</v>
      </c>
      <c r="R42" s="5">
        <f t="shared" si="5"/>
        <v>744466.33</v>
      </c>
      <c r="S42" s="5">
        <f t="shared" si="5"/>
        <v>744466.33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79604000</v>
      </c>
      <c r="J46" s="23">
        <f t="shared" si="6"/>
        <v>0</v>
      </c>
      <c r="K46" s="23">
        <f t="shared" si="6"/>
        <v>12166000</v>
      </c>
      <c r="L46" s="23">
        <f t="shared" si="6"/>
        <v>5214000</v>
      </c>
      <c r="M46" s="23">
        <f t="shared" si="6"/>
        <v>9300000</v>
      </c>
      <c r="N46" s="23">
        <f t="shared" si="6"/>
        <v>70304000</v>
      </c>
      <c r="O46" s="23">
        <f t="shared" si="6"/>
        <v>70304000</v>
      </c>
      <c r="P46" s="23">
        <f t="shared" si="6"/>
        <v>0</v>
      </c>
      <c r="Q46" s="23">
        <f t="shared" si="6"/>
        <v>0</v>
      </c>
      <c r="R46" s="23">
        <f t="shared" si="6"/>
        <v>818493.7</v>
      </c>
      <c r="S46" s="23">
        <f t="shared" si="6"/>
        <v>804397.24</v>
      </c>
      <c r="T46" s="23">
        <f t="shared" si="6"/>
        <v>14096.46</v>
      </c>
      <c r="U46" s="23">
        <f t="shared" si="6"/>
        <v>70318096.46000001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7.2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7.2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7.2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5"/>
  <sheetViews>
    <sheetView zoomScalePageLayoutView="0" workbookViewId="0" topLeftCell="F34">
      <selection activeCell="R38" sqref="R38"/>
    </sheetView>
  </sheetViews>
  <sheetFormatPr defaultColWidth="9.125" defaultRowHeight="12.75"/>
  <cols>
    <col min="1" max="1" width="3.625" style="8" customWidth="1"/>
    <col min="2" max="2" width="7.50390625" style="8" customWidth="1"/>
    <col min="3" max="3" width="15.5039062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375" style="8" customWidth="1"/>
    <col min="9" max="9" width="16.50390625" style="8" customWidth="1"/>
    <col min="10" max="10" width="15.625" style="8" customWidth="1"/>
    <col min="11" max="12" width="13.125" style="8" hidden="1" customWidth="1"/>
    <col min="13" max="13" width="14.50390625" style="8" customWidth="1"/>
    <col min="14" max="14" width="17.50390625" style="8" customWidth="1"/>
    <col min="15" max="15" width="18.00390625" style="8" customWidth="1"/>
    <col min="16" max="16" width="6.50390625" style="8" customWidth="1"/>
    <col min="17" max="17" width="14.00390625" style="8" customWidth="1"/>
    <col min="18" max="18" width="13.50390625" style="8" customWidth="1"/>
    <col min="19" max="20" width="14.125" style="8" customWidth="1"/>
    <col min="21" max="21" width="17.00390625" style="8" customWidth="1"/>
    <col min="22" max="22" width="2.50390625" style="8" hidden="1" customWidth="1"/>
    <col min="23" max="23" width="15.125" style="8" hidden="1" customWidth="1"/>
    <col min="24" max="24" width="12.875" style="8" hidden="1" customWidth="1"/>
    <col min="25" max="25" width="11.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95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96</v>
      </c>
      <c r="K8" s="11" t="s">
        <v>70</v>
      </c>
      <c r="L8" s="11" t="s">
        <v>71</v>
      </c>
      <c r="M8" s="11" t="s">
        <v>97</v>
      </c>
      <c r="N8" s="11" t="s">
        <v>98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7">N23</f>
        <v>0</v>
      </c>
      <c r="P23" s="7"/>
      <c r="Q23" s="7"/>
      <c r="R23" s="5"/>
      <c r="S23" s="7"/>
      <c r="T23" s="6">
        <f aca="true" t="shared" si="1" ref="T23:T37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8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/>
      <c r="K30" s="134">
        <v>4158000</v>
      </c>
      <c r="L30" s="134">
        <v>1782000</v>
      </c>
      <c r="M30" s="135">
        <f>785000+785000+785000+785000+780000</f>
        <v>3920000</v>
      </c>
      <c r="N30" s="52">
        <f aca="true" t="shared" si="2" ref="N30:N37">I30+J30-M30</f>
        <v>1560000</v>
      </c>
      <c r="O30" s="149">
        <f t="shared" si="0"/>
        <v>1560000</v>
      </c>
      <c r="P30" s="136"/>
      <c r="Q30" s="136"/>
      <c r="R30" s="150">
        <f>11244.19+8136.45+7466.64+5356.72+4250.3</f>
        <v>36454.3</v>
      </c>
      <c r="S30" s="150">
        <f>11244.19+8136.45+7466.64+5356.72</f>
        <v>32204</v>
      </c>
      <c r="T30" s="32">
        <f t="shared" si="1"/>
        <v>4250.300000000003</v>
      </c>
      <c r="U30" s="48">
        <f aca="true" t="shared" si="3" ref="U30:U37">O30+T30</f>
        <v>1564250.3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9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/>
      <c r="K31" s="134"/>
      <c r="L31" s="134"/>
      <c r="M31" s="135">
        <f>500000+500000+500000+500000+500000</f>
        <v>2500000</v>
      </c>
      <c r="N31" s="52">
        <f t="shared" si="2"/>
        <v>3500000</v>
      </c>
      <c r="O31" s="149">
        <f t="shared" si="0"/>
        <v>3500000</v>
      </c>
      <c r="P31" s="136"/>
      <c r="Q31" s="136"/>
      <c r="R31" s="150">
        <f>12667.32+10155.08+10261.23+8739.74+8208.96</f>
        <v>50032.33</v>
      </c>
      <c r="S31" s="150">
        <f>12667.32+10155.08+10261.23+8739.74</f>
        <v>41823.37</v>
      </c>
      <c r="T31" s="32">
        <f t="shared" si="1"/>
        <v>8208.96</v>
      </c>
      <c r="U31" s="48">
        <f>O31+T31</f>
        <v>3508208.96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10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/>
      <c r="S32" s="137"/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11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/>
      <c r="K33" s="134">
        <v>5497800</v>
      </c>
      <c r="L33" s="134">
        <v>2356200</v>
      </c>
      <c r="M33" s="135">
        <f>714000+714000+714000+714000+714000</f>
        <v>3570000</v>
      </c>
      <c r="N33" s="52">
        <f t="shared" si="2"/>
        <v>8576000</v>
      </c>
      <c r="O33" s="149">
        <f t="shared" si="0"/>
        <v>8576000</v>
      </c>
      <c r="P33" s="136"/>
      <c r="Q33" s="136"/>
      <c r="R33" s="150"/>
      <c r="S33" s="137"/>
      <c r="T33" s="32">
        <f t="shared" si="1"/>
        <v>0</v>
      </c>
      <c r="U33" s="48">
        <f t="shared" si="3"/>
        <v>8576000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12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/>
      <c r="K34" s="134">
        <v>354200</v>
      </c>
      <c r="L34" s="134">
        <v>151800</v>
      </c>
      <c r="M34" s="135">
        <f>46000+46000+46000+46000+46000</f>
        <v>230000</v>
      </c>
      <c r="N34" s="52">
        <f t="shared" si="2"/>
        <v>664000</v>
      </c>
      <c r="O34" s="149">
        <f t="shared" si="0"/>
        <v>664000</v>
      </c>
      <c r="P34" s="136"/>
      <c r="Q34" s="136"/>
      <c r="R34" s="150"/>
      <c r="S34" s="137"/>
      <c r="T34" s="32">
        <f t="shared" si="1"/>
        <v>0</v>
      </c>
      <c r="U34" s="48">
        <f>O34+T34</f>
        <v>664000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13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/>
      <c r="K35" s="134">
        <v>2156000</v>
      </c>
      <c r="L35" s="134">
        <v>924000</v>
      </c>
      <c r="M35" s="135">
        <f>280000+280000+280000+280000+280000</f>
        <v>1400000</v>
      </c>
      <c r="N35" s="52">
        <f t="shared" si="2"/>
        <v>5520000</v>
      </c>
      <c r="O35" s="149">
        <f t="shared" si="0"/>
        <v>5520000</v>
      </c>
      <c r="P35" s="155" t="s">
        <v>61</v>
      </c>
      <c r="Q35" s="136"/>
      <c r="R35" s="150"/>
      <c r="S35" s="137"/>
      <c r="T35" s="32">
        <f t="shared" si="1"/>
        <v>0</v>
      </c>
      <c r="U35" s="48">
        <f t="shared" si="3"/>
        <v>5520000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14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/>
      <c r="S37" s="137"/>
      <c r="T37" s="32">
        <f t="shared" si="1"/>
        <v>0</v>
      </c>
      <c r="U37" s="32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51" ht="15.75" customHeight="1" thickBot="1">
      <c r="A38" s="94" t="s">
        <v>21</v>
      </c>
      <c r="B38" s="18"/>
      <c r="C38" s="18"/>
      <c r="D38" s="95"/>
      <c r="E38" s="96"/>
      <c r="F38" s="97"/>
      <c r="G38" s="97"/>
      <c r="H38" s="97"/>
      <c r="I38" s="133">
        <f>SUM(I23:I37)</f>
        <v>53604000</v>
      </c>
      <c r="J38" s="133">
        <f>SUM(J23:J37)</f>
        <v>0</v>
      </c>
      <c r="K38" s="133">
        <f aca="true" t="shared" si="4" ref="K38:Q38">SUM(K23:K37)</f>
        <v>12166000</v>
      </c>
      <c r="L38" s="133">
        <f t="shared" si="4"/>
        <v>5214000</v>
      </c>
      <c r="M38" s="133">
        <f t="shared" si="4"/>
        <v>11620000</v>
      </c>
      <c r="N38" s="133">
        <f t="shared" si="4"/>
        <v>41984000</v>
      </c>
      <c r="O38" s="133">
        <f t="shared" si="4"/>
        <v>41984000</v>
      </c>
      <c r="P38" s="133">
        <f>SUM(P23:P37)</f>
        <v>0</v>
      </c>
      <c r="Q38" s="133">
        <f t="shared" si="4"/>
        <v>0</v>
      </c>
      <c r="R38" s="133">
        <f>SUM(R23:R37)</f>
        <v>86486.63</v>
      </c>
      <c r="S38" s="133">
        <f>SUM(S23:S37)</f>
        <v>74027.37</v>
      </c>
      <c r="T38" s="133">
        <f>SUM(T23:T37)</f>
        <v>12459.260000000002</v>
      </c>
      <c r="U38" s="133">
        <f>SUM(U23:U37)</f>
        <v>41996459.26</v>
      </c>
      <c r="V38" s="133" t="e">
        <f>#REF!+#REF!+#REF!+#REF!+V23+V24+#REF!+#REF!+#REF!+#REF!+V27+#REF!+V28+V29+V30+V31+V25+V26+V32+V33+V34+V35</f>
        <v>#REF!</v>
      </c>
      <c r="W38" s="133" t="e">
        <f>#REF!+#REF!+#REF!+#REF!+W23+W24+#REF!+#REF!+#REF!+#REF!+W27+#REF!+W28+W29+W30+W31+W25+W26+W32+W33+W34+W35</f>
        <v>#REF!</v>
      </c>
      <c r="X38" s="133" t="e">
        <f>#REF!+#REF!+#REF!+#REF!+X23+X24+#REF!+#REF!+#REF!+#REF!+X27+#REF!+X28+X29+X30+X31+X25+X26+X32+X33+X34+X35</f>
        <v>#REF!</v>
      </c>
      <c r="Y38" s="133" t="e">
        <f>#REF!+#REF!+#REF!+#REF!+Y23+Y24+#REF!+#REF!+#REF!+#REF!+Y27+#REF!+Y28+Y29+Y30+Y31+Y25+Y26+Y32+Y33+Y34+Y35</f>
        <v>#REF!</v>
      </c>
      <c r="Z38" s="133" t="e">
        <f>#REF!+#REF!+#REF!+#REF!+Z23+Z24+#REF!+#REF!+#REF!+#REF!+Z27+#REF!+Z28+Z29+Z30+Z31+Z25+Z26+Z32+Z33+Z34+Z35</f>
        <v>#REF!</v>
      </c>
      <c r="AA38" s="133" t="e">
        <f>#REF!+#REF!+#REF!+#REF!+AA23+AA24+#REF!+#REF!+#REF!+#REF!+AA27+#REF!+AA28+AA29+AA30+AA31+AA25+AA26+AA32+AA33+AA34+AA35</f>
        <v>#REF!</v>
      </c>
      <c r="AB38" s="133" t="e">
        <f>#REF!+#REF!+#REF!+#REF!+AB23+AB24+#REF!+#REF!+#REF!+#REF!+AB27+#REF!+AB28+AB29+AB30+AB31+AB25+AB26+AB32+AB33+AB34+AB35</f>
        <v>#REF!</v>
      </c>
      <c r="AC38" s="133" t="e">
        <f>#REF!+#REF!+#REF!+#REF!+AC23+AC24+#REF!+#REF!+#REF!+#REF!+AC27+#REF!+AC28+AC29+AC30+AC31+AC25+AC26+AC32+AC33+AC34+AC35</f>
        <v>#REF!</v>
      </c>
      <c r="AD38" s="133" t="e">
        <f>#REF!+#REF!+#REF!+#REF!+AD23+AD24+#REF!+#REF!+#REF!+#REF!+AD27+#REF!+AD28+AD29+AD30+AD31+AD25+AD26+AD32+AD33+AD34+AD35</f>
        <v>#REF!</v>
      </c>
      <c r="AE38" s="133" t="e">
        <f>#REF!+#REF!+#REF!+#REF!+AE23+AE24+#REF!+#REF!+#REF!+#REF!+AE27+#REF!+AE28+AE29+AE30+AE31+AE25+AE26+AE32+AE33+AE34+AE35</f>
        <v>#REF!</v>
      </c>
      <c r="AF38" s="133" t="e">
        <f>#REF!+#REF!+#REF!+#REF!+AF23+AF24+#REF!+#REF!+#REF!+#REF!+AF27+#REF!+AF28+AF29+AF30+AF31+AF25+AF26+AF32+AF33+AF34+AF35</f>
        <v>#REF!</v>
      </c>
      <c r="AG38" s="133" t="e">
        <f>#REF!+#REF!+#REF!+#REF!+AG23+AG24+#REF!+#REF!+#REF!+#REF!+AG27+#REF!+AG28+AG29+AG30+AG31+AG25+AG26+AG32+AG33+AG34+AG35</f>
        <v>#REF!</v>
      </c>
      <c r="AH38" s="133" t="e">
        <f>#REF!+#REF!+#REF!+#REF!+AH23+AH24+#REF!+#REF!+#REF!+#REF!+AH27+#REF!+AH28+AH29+AH30+AH31+AH25+AH26+AH32+AH33+AH34+AH35</f>
        <v>#REF!</v>
      </c>
      <c r="AI38" s="133" t="e">
        <f>#REF!+#REF!+#REF!+#REF!+AI23+AI24+#REF!+#REF!+#REF!+#REF!+AI27+#REF!+AI28+AI29+AI30+AI31+AI25+AI26+AI32+AI33+AI34+AI35</f>
        <v>#REF!</v>
      </c>
      <c r="AJ38" s="133" t="e">
        <f>#REF!+#REF!+#REF!+#REF!+AJ23+AJ24+#REF!+#REF!+#REF!+#REF!+AJ27+#REF!+AJ28+AJ29+AJ30+AJ31+AJ25+AJ26+AJ32+AJ33+AJ34+AJ35</f>
        <v>#REF!</v>
      </c>
      <c r="AK38" s="133" t="e">
        <f>#REF!+#REF!+#REF!+#REF!+AK23+AK24+#REF!+#REF!+#REF!+#REF!+AK27+#REF!+AK28+AK29+AK30+AK31+AK25+AK26+AK32+AK33+AK34+AK35</f>
        <v>#REF!</v>
      </c>
      <c r="AL38" s="133" t="e">
        <f>#REF!+#REF!+#REF!+#REF!+AL23+AL24+#REF!+#REF!+#REF!+#REF!+AL27+#REF!+AL28+AL29+AL30+AL31+AL25+AL26+AL32+AL33+AL34+AL35</f>
        <v>#REF!</v>
      </c>
      <c r="AM38" s="133" t="e">
        <f>#REF!+#REF!+#REF!+#REF!+AM23+AM24+#REF!+#REF!+#REF!+#REF!+AM27+#REF!+AM28+AM29+AM30+AM31+AM25+AM26+AM32+AM33+AM34+AM35</f>
        <v>#REF!</v>
      </c>
      <c r="AN38" s="133" t="e">
        <f>#REF!+#REF!+#REF!+#REF!+AN23+AN24+#REF!+#REF!+#REF!+#REF!+AN27+#REF!+AN28+AN29+AN30+AN31+AN25+AN26+AN32+AN33+AN34+AN35</f>
        <v>#REF!</v>
      </c>
      <c r="AO38" s="133" t="e">
        <f>#REF!+#REF!+#REF!+#REF!+AO23+AO24+#REF!+#REF!+#REF!+#REF!+AO27+#REF!+AO28+AO29+AO30+AO31+AO25+AO26+AO32+AO33+AO34+AO35</f>
        <v>#REF!</v>
      </c>
      <c r="AP38" s="133" t="e">
        <f>#REF!+#REF!+#REF!+#REF!+AP23+AP24+#REF!+#REF!+#REF!+#REF!+AP27+#REF!+AP28+AP29+AP30+AP31+AP25+AP26+AP32+AP33+AP34+AP35</f>
        <v>#REF!</v>
      </c>
      <c r="AQ38" s="133" t="e">
        <f>#REF!+#REF!+#REF!+#REF!+AQ23+AQ24+#REF!+#REF!+#REF!+#REF!+AQ27+#REF!+AQ28+AQ29+AQ30+AQ31+AQ25+AQ26+AQ32+AQ33+AQ34+AQ35</f>
        <v>#REF!</v>
      </c>
      <c r="AR38" s="133" t="e">
        <f>#REF!+#REF!+#REF!+#REF!+AR23+AR24+#REF!+#REF!+#REF!+#REF!+AR27+#REF!+AR28+AR29+AR30+AR31+AR25+AR26+AR32+AR33+AR34+AR35</f>
        <v>#REF!</v>
      </c>
      <c r="AS38" s="133" t="e">
        <f>#REF!+#REF!+#REF!+#REF!+AS23+AS24+#REF!+#REF!+#REF!+#REF!+AS27+#REF!+AS28+AS29+AS30+AS31+AS25+AS26+AS32+AS33+AS34+AS35</f>
        <v>#REF!</v>
      </c>
      <c r="AT38" s="133" t="e">
        <f>#REF!+#REF!+#REF!+#REF!+AT23+AT24+#REF!+#REF!+#REF!+#REF!+AT27+#REF!+AT28+AT29+AT30+AT31+AT25+AT26+AT32+AT33+AT34+AT35</f>
        <v>#REF!</v>
      </c>
      <c r="AU38" s="133" t="e">
        <f>#REF!+#REF!+#REF!+#REF!+AU23+AU24+#REF!+#REF!+#REF!+#REF!+AU27+#REF!+AU28+AU29+AU30+AU31+AU25+AU26+AU32+AU33+AU34+AU35</f>
        <v>#REF!</v>
      </c>
      <c r="AV38" s="133" t="e">
        <f>#REF!+#REF!+#REF!+#REF!+AV23+AV24+#REF!+#REF!+#REF!+#REF!+AV27+#REF!+AV28+AV29+AV30+AV31+AV25+AV26+AV32+AV33+AV34+AV35</f>
        <v>#REF!</v>
      </c>
      <c r="AW38" s="133" t="e">
        <f>#REF!+#REF!+#REF!+#REF!+AW23+AW24+#REF!+#REF!+#REF!+#REF!+AW27+#REF!+AW28+AW29+AW30+AW31+AW25+AW26+AW32+AW33+AW34+AW35</f>
        <v>#REF!</v>
      </c>
      <c r="AX38" s="133" t="e">
        <f>#REF!+#REF!+#REF!+#REF!+AX23+AX24+#REF!+#REF!+#REF!+#REF!+AX27+#REF!+AX28+AX29+AX30+AX31+AX25+AX26+AX32+AX33+AX34+AX35</f>
        <v>#REF!</v>
      </c>
      <c r="AY38" s="133" t="e">
        <f>#REF!+#REF!+#REF!+#REF!+AY23+AY24+#REF!+#REF!+#REF!+#REF!+AY27+#REF!+AY28+AY29+AY30+AY31+AY25+AY26+AY32+AY33+AY34+AY35</f>
        <v>#REF!</v>
      </c>
    </row>
    <row r="39" spans="1:22" ht="16.5" customHeight="1" thickBot="1">
      <c r="A39" s="138" t="s">
        <v>19</v>
      </c>
      <c r="B39" s="139" t="s">
        <v>23</v>
      </c>
      <c r="C39" s="139"/>
      <c r="D39" s="139"/>
      <c r="E39" s="139"/>
      <c r="F39" s="139"/>
      <c r="G39" s="139"/>
      <c r="H39" s="20"/>
      <c r="I39" s="10"/>
      <c r="J39" s="10"/>
      <c r="K39" s="10"/>
      <c r="L39" s="10"/>
      <c r="M39" s="10"/>
      <c r="N39" s="10"/>
      <c r="O39" s="98"/>
      <c r="P39" s="10"/>
      <c r="Q39" s="10"/>
      <c r="R39" s="10"/>
      <c r="S39" s="142"/>
      <c r="T39" s="10"/>
      <c r="U39" s="143"/>
      <c r="V39" s="25"/>
    </row>
    <row r="40" spans="1:22" ht="69" customHeight="1">
      <c r="A40" s="148">
        <v>1</v>
      </c>
      <c r="B40" s="42" t="s">
        <v>23</v>
      </c>
      <c r="C40" s="141" t="s">
        <v>63</v>
      </c>
      <c r="D40" s="131" t="s">
        <v>64</v>
      </c>
      <c r="E40" s="17">
        <v>100000000</v>
      </c>
      <c r="F40" s="151" t="s">
        <v>65</v>
      </c>
      <c r="G40" s="154" t="s">
        <v>62</v>
      </c>
      <c r="H40" s="132" t="s">
        <v>28</v>
      </c>
      <c r="I40" s="152">
        <v>10000000</v>
      </c>
      <c r="J40" s="152">
        <v>0</v>
      </c>
      <c r="K40" s="152"/>
      <c r="L40" s="152"/>
      <c r="M40" s="152">
        <v>0</v>
      </c>
      <c r="N40" s="6">
        <f>I40+J40-M40</f>
        <v>10000000</v>
      </c>
      <c r="O40" s="6">
        <f>N40</f>
        <v>10000000</v>
      </c>
      <c r="P40" s="3"/>
      <c r="Q40" s="3"/>
      <c r="R40" s="3">
        <f>80050.6+72303.77+80050.59+77468.32</f>
        <v>309873.28</v>
      </c>
      <c r="S40" s="3">
        <f>80050.6+72303.77+80050.59+77468.32</f>
        <v>309873.28</v>
      </c>
      <c r="T40" s="6">
        <f>Q40+R40-S40</f>
        <v>0</v>
      </c>
      <c r="U40" s="6">
        <f>N40+Q40+R40-S40</f>
        <v>10000000</v>
      </c>
      <c r="V40" s="25"/>
    </row>
    <row r="41" spans="1:22" ht="69" customHeight="1">
      <c r="A41" s="148">
        <v>1</v>
      </c>
      <c r="B41" s="42" t="s">
        <v>23</v>
      </c>
      <c r="C41" s="141" t="s">
        <v>74</v>
      </c>
      <c r="D41" s="131" t="s">
        <v>41</v>
      </c>
      <c r="E41" s="17">
        <v>160000000</v>
      </c>
      <c r="F41" s="151" t="s">
        <v>76</v>
      </c>
      <c r="G41" s="154" t="s">
        <v>75</v>
      </c>
      <c r="H41" s="132" t="s">
        <v>28</v>
      </c>
      <c r="I41" s="152">
        <v>16000000</v>
      </c>
      <c r="J41" s="152">
        <v>0</v>
      </c>
      <c r="K41" s="152"/>
      <c r="L41" s="152"/>
      <c r="M41" s="152">
        <v>0</v>
      </c>
      <c r="N41" s="6">
        <f>I41+J41-M41</f>
        <v>16000000</v>
      </c>
      <c r="O41" s="6">
        <f>N41</f>
        <v>16000000</v>
      </c>
      <c r="P41" s="3"/>
      <c r="Q41" s="3"/>
      <c r="R41" s="3">
        <f>132282.52+119480.99+132282.52+128015.34+132282.52</f>
        <v>644343.89</v>
      </c>
      <c r="S41" s="3">
        <f>132282.52+119480.99+132282.52+128015.34+132282.52</f>
        <v>644343.89</v>
      </c>
      <c r="T41" s="6">
        <f>Q41+R41-S41</f>
        <v>0</v>
      </c>
      <c r="U41" s="6">
        <f>N41+Q41+R41-S41</f>
        <v>16000000</v>
      </c>
      <c r="V41" s="25"/>
    </row>
    <row r="42" spans="1:51" ht="16.5" customHeight="1" thickBot="1">
      <c r="A42" s="94" t="s">
        <v>21</v>
      </c>
      <c r="B42" s="140"/>
      <c r="C42" s="140"/>
      <c r="D42" s="14"/>
      <c r="E42" s="14"/>
      <c r="F42" s="14"/>
      <c r="G42" s="14"/>
      <c r="H42" s="14"/>
      <c r="I42" s="5">
        <f>I40+I41</f>
        <v>26000000</v>
      </c>
      <c r="J42" s="5">
        <f aca="true" t="shared" si="5" ref="J42:AY42">J40+J41</f>
        <v>0</v>
      </c>
      <c r="K42" s="5">
        <f t="shared" si="5"/>
        <v>0</v>
      </c>
      <c r="L42" s="5">
        <f t="shared" si="5"/>
        <v>0</v>
      </c>
      <c r="M42" s="5">
        <f t="shared" si="5"/>
        <v>0</v>
      </c>
      <c r="N42" s="5">
        <f t="shared" si="5"/>
        <v>26000000</v>
      </c>
      <c r="O42" s="5">
        <f t="shared" si="5"/>
        <v>26000000</v>
      </c>
      <c r="P42" s="5">
        <f t="shared" si="5"/>
        <v>0</v>
      </c>
      <c r="Q42" s="5">
        <f t="shared" si="5"/>
        <v>0</v>
      </c>
      <c r="R42" s="5">
        <f t="shared" si="5"/>
        <v>954217.17</v>
      </c>
      <c r="S42" s="5">
        <f t="shared" si="5"/>
        <v>954217.17</v>
      </c>
      <c r="T42" s="5">
        <f t="shared" si="5"/>
        <v>0</v>
      </c>
      <c r="U42" s="5">
        <f t="shared" si="5"/>
        <v>26000000</v>
      </c>
      <c r="V42" s="5">
        <f t="shared" si="5"/>
        <v>0</v>
      </c>
      <c r="W42" s="5">
        <f t="shared" si="5"/>
        <v>0</v>
      </c>
      <c r="X42" s="5">
        <f t="shared" si="5"/>
        <v>0</v>
      </c>
      <c r="Y42" s="5">
        <f t="shared" si="5"/>
        <v>0</v>
      </c>
      <c r="Z42" s="5">
        <f t="shared" si="5"/>
        <v>0</v>
      </c>
      <c r="AA42" s="5">
        <f t="shared" si="5"/>
        <v>0</v>
      </c>
      <c r="AB42" s="5">
        <f t="shared" si="5"/>
        <v>0</v>
      </c>
      <c r="AC42" s="5">
        <f t="shared" si="5"/>
        <v>0</v>
      </c>
      <c r="AD42" s="5">
        <f t="shared" si="5"/>
        <v>0</v>
      </c>
      <c r="AE42" s="5">
        <f t="shared" si="5"/>
        <v>0</v>
      </c>
      <c r="AF42" s="5">
        <f t="shared" si="5"/>
        <v>0</v>
      </c>
      <c r="AG42" s="5">
        <f t="shared" si="5"/>
        <v>0</v>
      </c>
      <c r="AH42" s="5">
        <f t="shared" si="5"/>
        <v>0</v>
      </c>
      <c r="AI42" s="5">
        <f t="shared" si="5"/>
        <v>0</v>
      </c>
      <c r="AJ42" s="5">
        <f t="shared" si="5"/>
        <v>0</v>
      </c>
      <c r="AK42" s="5">
        <f t="shared" si="5"/>
        <v>0</v>
      </c>
      <c r="AL42" s="5">
        <f t="shared" si="5"/>
        <v>0</v>
      </c>
      <c r="AM42" s="5">
        <f t="shared" si="5"/>
        <v>0</v>
      </c>
      <c r="AN42" s="5">
        <f t="shared" si="5"/>
        <v>0</v>
      </c>
      <c r="AO42" s="5">
        <f t="shared" si="5"/>
        <v>0</v>
      </c>
      <c r="AP42" s="5">
        <f t="shared" si="5"/>
        <v>0</v>
      </c>
      <c r="AQ42" s="5">
        <f t="shared" si="5"/>
        <v>0</v>
      </c>
      <c r="AR42" s="5">
        <f t="shared" si="5"/>
        <v>0</v>
      </c>
      <c r="AS42" s="5">
        <f t="shared" si="5"/>
        <v>0</v>
      </c>
      <c r="AT42" s="5">
        <f t="shared" si="5"/>
        <v>0</v>
      </c>
      <c r="AU42" s="5">
        <f t="shared" si="5"/>
        <v>0</v>
      </c>
      <c r="AV42" s="5">
        <f t="shared" si="5"/>
        <v>0</v>
      </c>
      <c r="AW42" s="5">
        <f t="shared" si="5"/>
        <v>0</v>
      </c>
      <c r="AX42" s="5">
        <f t="shared" si="5"/>
        <v>0</v>
      </c>
      <c r="AY42" s="5">
        <f t="shared" si="5"/>
        <v>0</v>
      </c>
    </row>
    <row r="43" spans="1:38" s="82" customFormat="1" ht="18" customHeight="1" thickBot="1">
      <c r="A43" s="100" t="s">
        <v>5</v>
      </c>
      <c r="B43" s="101" t="s">
        <v>22</v>
      </c>
      <c r="C43" s="101"/>
      <c r="D43" s="144"/>
      <c r="E43" s="144"/>
      <c r="F43" s="144"/>
      <c r="G43" s="144"/>
      <c r="H43" s="144"/>
      <c r="I43" s="144"/>
      <c r="J43" s="140"/>
      <c r="K43" s="140"/>
      <c r="L43" s="140"/>
      <c r="M43" s="140"/>
      <c r="N43" s="140"/>
      <c r="O43" s="140"/>
      <c r="P43" s="140"/>
      <c r="Q43" s="140"/>
      <c r="R43" s="140"/>
      <c r="S43" s="147"/>
      <c r="T43" s="140"/>
      <c r="U43" s="145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1:38" s="82" customFormat="1" ht="69.75" customHeight="1" hidden="1">
      <c r="A44" s="100"/>
      <c r="B44" s="102"/>
      <c r="C44" s="103"/>
      <c r="D44" s="103"/>
      <c r="E44" s="104"/>
      <c r="F44" s="103"/>
      <c r="G44" s="153"/>
      <c r="H44" s="46"/>
      <c r="I44" s="61"/>
      <c r="J44" s="61"/>
      <c r="K44" s="156"/>
      <c r="L44" s="156"/>
      <c r="M44" s="33"/>
      <c r="N44" s="61"/>
      <c r="O44" s="32"/>
      <c r="P44" s="21"/>
      <c r="Q44" s="21"/>
      <c r="R44" s="21"/>
      <c r="S44" s="146"/>
      <c r="T44" s="61"/>
      <c r="U44" s="61"/>
      <c r="V44" s="81"/>
      <c r="W44" s="105"/>
      <c r="X44" s="105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18" customHeight="1" thickBot="1">
      <c r="A45" s="106" t="s">
        <v>21</v>
      </c>
      <c r="B45" s="107"/>
      <c r="C45" s="108"/>
      <c r="D45" s="108"/>
      <c r="E45" s="109"/>
      <c r="F45" s="110"/>
      <c r="G45" s="110"/>
      <c r="H45" s="103"/>
      <c r="I45" s="34">
        <f>I44</f>
        <v>0</v>
      </c>
      <c r="J45" s="34">
        <f>J44</f>
        <v>0</v>
      </c>
      <c r="K45" s="34"/>
      <c r="L45" s="34"/>
      <c r="M45" s="34">
        <f>M44</f>
        <v>0</v>
      </c>
      <c r="N45" s="34">
        <f>N44</f>
        <v>0</v>
      </c>
      <c r="O45" s="34">
        <f>O44</f>
        <v>0</v>
      </c>
      <c r="P45" s="22">
        <v>3</v>
      </c>
      <c r="Q45" s="22">
        <v>0</v>
      </c>
      <c r="R45" s="22">
        <v>0</v>
      </c>
      <c r="S45" s="22">
        <v>0</v>
      </c>
      <c r="T45" s="34">
        <f>N45</f>
        <v>0</v>
      </c>
      <c r="U45" s="34">
        <f>T45</f>
        <v>0</v>
      </c>
      <c r="V45" s="81"/>
      <c r="W45" s="11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23" ht="16.5" customHeight="1" thickBot="1">
      <c r="A46" s="112"/>
      <c r="B46" s="20" t="s">
        <v>16</v>
      </c>
      <c r="C46" s="19"/>
      <c r="D46" s="19"/>
      <c r="E46" s="19"/>
      <c r="F46" s="99"/>
      <c r="G46" s="99"/>
      <c r="H46" s="113"/>
      <c r="I46" s="23">
        <f aca="true" t="shared" si="6" ref="I46:U46">I38+I42</f>
        <v>79604000</v>
      </c>
      <c r="J46" s="23">
        <f t="shared" si="6"/>
        <v>0</v>
      </c>
      <c r="K46" s="23">
        <f t="shared" si="6"/>
        <v>12166000</v>
      </c>
      <c r="L46" s="23">
        <f t="shared" si="6"/>
        <v>5214000</v>
      </c>
      <c r="M46" s="23">
        <f t="shared" si="6"/>
        <v>11620000</v>
      </c>
      <c r="N46" s="23">
        <f t="shared" si="6"/>
        <v>67984000</v>
      </c>
      <c r="O46" s="23">
        <f t="shared" si="6"/>
        <v>67984000</v>
      </c>
      <c r="P46" s="23">
        <f t="shared" si="6"/>
        <v>0</v>
      </c>
      <c r="Q46" s="23">
        <f t="shared" si="6"/>
        <v>0</v>
      </c>
      <c r="R46" s="23">
        <f t="shared" si="6"/>
        <v>1040703.8</v>
      </c>
      <c r="S46" s="23">
        <f t="shared" si="6"/>
        <v>1028244.54</v>
      </c>
      <c r="T46" s="23">
        <f t="shared" si="6"/>
        <v>12459.260000000002</v>
      </c>
      <c r="U46" s="23">
        <f t="shared" si="6"/>
        <v>67996459.25999999</v>
      </c>
      <c r="V46" s="25"/>
      <c r="W46" s="114"/>
    </row>
    <row r="47" spans="1:22" ht="16.5" customHeight="1">
      <c r="A47" s="25"/>
      <c r="B47" s="81"/>
      <c r="C47" s="10"/>
      <c r="D47" s="10"/>
      <c r="E47" s="10"/>
      <c r="F47" s="10"/>
      <c r="G47" s="10"/>
      <c r="H47" s="10"/>
      <c r="I47" s="24"/>
      <c r="J47" s="24"/>
      <c r="K47" s="24"/>
      <c r="L47" s="24"/>
      <c r="M47" s="24"/>
      <c r="N47" s="24"/>
      <c r="O47" s="24"/>
      <c r="P47" s="40"/>
      <c r="Q47" s="24"/>
      <c r="R47" s="24"/>
      <c r="S47" s="24"/>
      <c r="T47" s="24"/>
      <c r="U47" s="24"/>
      <c r="V47" s="25"/>
    </row>
    <row r="48" spans="1:22" ht="16.5" customHeight="1">
      <c r="A48" s="25"/>
      <c r="B48" s="10" t="s">
        <v>35</v>
      </c>
      <c r="C48" s="10"/>
      <c r="D48" s="10"/>
      <c r="E48" s="10"/>
      <c r="F48" s="10"/>
      <c r="G48" s="10"/>
      <c r="H48" s="10"/>
      <c r="I48" s="24" t="s">
        <v>39</v>
      </c>
      <c r="J48" s="24"/>
      <c r="K48" s="24"/>
      <c r="L48" s="24"/>
      <c r="M48" s="24"/>
      <c r="N48" s="24"/>
      <c r="O48" s="24"/>
      <c r="P48" s="40"/>
      <c r="Q48" s="24"/>
      <c r="R48" s="24"/>
      <c r="S48" s="40"/>
      <c r="T48" s="24"/>
      <c r="U48" s="24"/>
      <c r="V48" s="25"/>
    </row>
    <row r="49" spans="1:22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24"/>
      <c r="T49" s="10"/>
      <c r="U49" s="10"/>
      <c r="V49" s="25"/>
    </row>
    <row r="50" spans="1:22" ht="15.75" customHeight="1">
      <c r="A50" s="25"/>
      <c r="B50" s="10" t="s">
        <v>27</v>
      </c>
      <c r="C50" s="10"/>
      <c r="D50" s="115"/>
      <c r="E50" s="116"/>
      <c r="F50" s="116"/>
      <c r="G50" s="116"/>
      <c r="H50" s="116"/>
      <c r="I50" s="35" t="s">
        <v>43</v>
      </c>
      <c r="J50" s="35"/>
      <c r="K50" s="35"/>
      <c r="L50" s="35"/>
      <c r="M50" s="35"/>
      <c r="N50" s="35"/>
      <c r="O50" s="35"/>
      <c r="P50" s="10"/>
      <c r="Q50" s="10"/>
      <c r="R50" s="10"/>
      <c r="S50" s="10"/>
      <c r="T50" s="10"/>
      <c r="U50" s="10"/>
      <c r="V50" s="25"/>
    </row>
    <row r="51" spans="1:22" ht="15.75" customHeight="1">
      <c r="A51" s="25"/>
      <c r="B51" s="10" t="s">
        <v>26</v>
      </c>
      <c r="C51" s="10"/>
      <c r="D51" s="115"/>
      <c r="E51" s="116"/>
      <c r="F51" s="116"/>
      <c r="G51" s="116"/>
      <c r="H51" s="116"/>
      <c r="I51" s="35"/>
      <c r="J51" s="35"/>
      <c r="K51" s="35"/>
      <c r="L51" s="35"/>
      <c r="M51" s="35"/>
      <c r="N51" s="117"/>
      <c r="O51" s="117"/>
      <c r="P51" s="10"/>
      <c r="Q51" s="10"/>
      <c r="R51" s="10"/>
      <c r="S51" s="10"/>
      <c r="T51" s="10"/>
      <c r="U51" s="10"/>
      <c r="V51" s="25"/>
    </row>
    <row r="52" spans="1:22" ht="12.75">
      <c r="A52" s="25"/>
      <c r="B52" s="10"/>
      <c r="C52" s="10"/>
      <c r="D52" s="39"/>
      <c r="E52" s="10"/>
      <c r="F52" s="10"/>
      <c r="G52" s="10"/>
      <c r="H52" s="10"/>
      <c r="I52" s="36"/>
      <c r="J52" s="36"/>
      <c r="K52" s="36"/>
      <c r="L52" s="36"/>
      <c r="M52" s="36"/>
      <c r="N52" s="36"/>
      <c r="O52" s="36"/>
      <c r="P52" s="10"/>
      <c r="Q52" s="10"/>
      <c r="R52" s="10"/>
      <c r="S52" s="10"/>
      <c r="T52" s="10"/>
      <c r="U52" s="10"/>
      <c r="V52" s="25"/>
    </row>
    <row r="53" spans="1:22" ht="0.75" customHeight="1">
      <c r="A53" s="25"/>
      <c r="B53" s="10"/>
      <c r="C53" s="10"/>
      <c r="D53" s="39"/>
      <c r="E53" s="10"/>
      <c r="F53" s="10"/>
      <c r="G53" s="10"/>
      <c r="H53" s="10"/>
      <c r="I53" s="118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14.25" customHeight="1" hidden="1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3.5" customHeight="1" hidden="1">
      <c r="A55" s="25"/>
      <c r="B55" s="10"/>
      <c r="C55" s="10"/>
      <c r="D55" s="10"/>
      <c r="E55" s="10"/>
      <c r="F55" s="10"/>
      <c r="G55" s="10"/>
      <c r="H55" s="10"/>
      <c r="I55" s="37"/>
      <c r="J55" s="37"/>
      <c r="K55" s="37"/>
      <c r="L55" s="37"/>
      <c r="M55" s="37"/>
      <c r="N55" s="37"/>
      <c r="O55" s="37"/>
      <c r="P55" s="10"/>
      <c r="Q55" s="10"/>
      <c r="R55" s="10"/>
      <c r="S55" s="10"/>
      <c r="T55" s="10"/>
      <c r="U55" s="10"/>
      <c r="V55" s="25"/>
    </row>
    <row r="56" spans="2:21" s="25" customFormat="1" ht="12.75" customHeight="1">
      <c r="B56" s="10" t="s">
        <v>14</v>
      </c>
      <c r="C56" s="39"/>
      <c r="D56" s="119"/>
      <c r="E56" s="12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</row>
    <row r="57" spans="1:21" s="25" customFormat="1" ht="9.75" customHeight="1">
      <c r="A57" s="121"/>
      <c r="B57" s="122" t="s">
        <v>20</v>
      </c>
      <c r="C57" s="10"/>
      <c r="D57" s="10"/>
      <c r="E57" s="123"/>
      <c r="F57" s="123"/>
      <c r="G57" s="123"/>
      <c r="H57" s="124"/>
      <c r="I57" s="38"/>
      <c r="J57" s="38"/>
      <c r="K57" s="38"/>
      <c r="L57" s="38"/>
      <c r="M57" s="38"/>
      <c r="N57" s="38"/>
      <c r="O57" s="38"/>
      <c r="P57" s="10"/>
      <c r="Q57" s="10"/>
      <c r="R57" s="10"/>
      <c r="S57" s="10"/>
      <c r="T57" s="10"/>
      <c r="U57" s="10"/>
    </row>
    <row r="58" spans="2:21" s="25" customFormat="1" ht="12.75">
      <c r="B58" s="39"/>
      <c r="C58" s="10"/>
      <c r="D58" s="115"/>
      <c r="E58" s="38"/>
      <c r="F58" s="38"/>
      <c r="G58" s="38"/>
      <c r="H58" s="38"/>
      <c r="I58" s="35"/>
      <c r="J58" s="35"/>
      <c r="K58" s="35"/>
      <c r="L58" s="35"/>
      <c r="M58" s="35"/>
      <c r="N58" s="35"/>
      <c r="O58" s="35"/>
      <c r="P58" s="10"/>
      <c r="Q58" s="10"/>
      <c r="R58" s="10"/>
      <c r="S58" s="10"/>
      <c r="T58" s="10"/>
      <c r="U58" s="10"/>
    </row>
    <row r="59" spans="2:21" s="25" customFormat="1" ht="12.75">
      <c r="B59" s="10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125"/>
      <c r="G62" s="125"/>
      <c r="H62" s="125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1:21" s="25" customFormat="1" ht="17.25">
      <c r="A63" s="121"/>
      <c r="B63" s="121"/>
      <c r="C63" s="126"/>
      <c r="D63" s="126"/>
      <c r="E63" s="126"/>
      <c r="F63" s="126"/>
      <c r="G63" s="126"/>
      <c r="H63" s="126"/>
      <c r="I63" s="39"/>
      <c r="J63" s="39"/>
      <c r="K63" s="39"/>
      <c r="L63" s="39"/>
      <c r="M63" s="39"/>
      <c r="N63" s="39"/>
      <c r="O63" s="39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38"/>
      <c r="G64" s="38"/>
      <c r="H64" s="38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1:21" s="25" customFormat="1" ht="17.25">
      <c r="A67" s="127"/>
      <c r="B67" s="10"/>
      <c r="C67" s="10"/>
      <c r="D67" s="10"/>
      <c r="E67" s="124"/>
      <c r="F67" s="124"/>
      <c r="G67" s="124"/>
      <c r="H67" s="124"/>
      <c r="I67" s="38"/>
      <c r="J67" s="38"/>
      <c r="K67" s="38"/>
      <c r="L67" s="38"/>
      <c r="M67" s="38"/>
      <c r="N67" s="38"/>
      <c r="O67" s="38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116"/>
      <c r="F68" s="128"/>
      <c r="G68" s="128"/>
      <c r="H68" s="12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1:21" s="25" customFormat="1" ht="17.25">
      <c r="A71" s="121"/>
      <c r="B71" s="121"/>
      <c r="C71" s="121"/>
      <c r="D71" s="121"/>
      <c r="E71" s="121"/>
      <c r="F71" s="121"/>
      <c r="G71" s="121"/>
      <c r="H71" s="129"/>
      <c r="I71" s="1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15"/>
      <c r="E73" s="116"/>
      <c r="F73" s="116"/>
      <c r="G73" s="116"/>
      <c r="H73" s="116"/>
      <c r="I73" s="35"/>
      <c r="J73" s="35"/>
      <c r="K73" s="35"/>
      <c r="L73" s="35"/>
      <c r="M73" s="35"/>
      <c r="N73" s="117"/>
      <c r="O73" s="117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39"/>
      <c r="E74" s="10"/>
      <c r="F74" s="10"/>
      <c r="G74" s="10"/>
      <c r="H74" s="10"/>
      <c r="I74" s="36"/>
      <c r="J74" s="36"/>
      <c r="K74" s="36"/>
      <c r="L74" s="36"/>
      <c r="M74" s="36"/>
      <c r="N74" s="36"/>
      <c r="O74" s="36"/>
      <c r="P74" s="10"/>
      <c r="Q74" s="10"/>
      <c r="R74" s="10"/>
      <c r="T74" s="10"/>
      <c r="U74" s="10"/>
    </row>
    <row r="75" s="25" customFormat="1" ht="12.75">
      <c r="S75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6"/>
  <sheetViews>
    <sheetView zoomScalePageLayoutView="0" workbookViewId="0" topLeftCell="C1">
      <selection activeCell="R39" sqref="R39"/>
    </sheetView>
  </sheetViews>
  <sheetFormatPr defaultColWidth="9.125" defaultRowHeight="12.75"/>
  <cols>
    <col min="1" max="1" width="3.625" style="8" customWidth="1"/>
    <col min="2" max="2" width="7.50390625" style="8" customWidth="1"/>
    <col min="3" max="3" width="15.5039062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375" style="8" customWidth="1"/>
    <col min="9" max="9" width="16.50390625" style="8" customWidth="1"/>
    <col min="10" max="10" width="15.625" style="8" customWidth="1"/>
    <col min="11" max="12" width="13.125" style="8" hidden="1" customWidth="1"/>
    <col min="13" max="13" width="14.50390625" style="8" customWidth="1"/>
    <col min="14" max="14" width="17.50390625" style="8" customWidth="1"/>
    <col min="15" max="15" width="18.00390625" style="8" customWidth="1"/>
    <col min="16" max="16" width="6.50390625" style="8" customWidth="1"/>
    <col min="17" max="17" width="14.00390625" style="8" customWidth="1"/>
    <col min="18" max="18" width="13.50390625" style="8" customWidth="1"/>
    <col min="19" max="20" width="14.125" style="8" customWidth="1"/>
    <col min="21" max="21" width="17.00390625" style="8" customWidth="1"/>
    <col min="22" max="22" width="2.50390625" style="8" hidden="1" customWidth="1"/>
    <col min="23" max="23" width="15.125" style="8" hidden="1" customWidth="1"/>
    <col min="24" max="24" width="12.875" style="8" hidden="1" customWidth="1"/>
    <col min="25" max="25" width="11.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99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100</v>
      </c>
      <c r="K8" s="11" t="s">
        <v>70</v>
      </c>
      <c r="L8" s="11" t="s">
        <v>71</v>
      </c>
      <c r="M8" s="11" t="s">
        <v>101</v>
      </c>
      <c r="N8" s="11" t="s">
        <v>102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8">N23</f>
        <v>0</v>
      </c>
      <c r="P23" s="7"/>
      <c r="Q23" s="7"/>
      <c r="R23" s="5"/>
      <c r="S23" s="7"/>
      <c r="T23" s="6">
        <f aca="true" t="shared" si="1" ref="T23:T38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1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>
        <v>-1560000</v>
      </c>
      <c r="K30" s="134">
        <v>4158000</v>
      </c>
      <c r="L30" s="134">
        <v>1782000</v>
      </c>
      <c r="M30" s="135">
        <f>785000+785000+785000+785000+780000</f>
        <v>3920000</v>
      </c>
      <c r="N30" s="52">
        <f aca="true" t="shared" si="2" ref="N30:N38">I30+J30-M30</f>
        <v>0</v>
      </c>
      <c r="O30" s="149">
        <f t="shared" si="0"/>
        <v>0</v>
      </c>
      <c r="P30" s="136"/>
      <c r="Q30" s="136"/>
      <c r="R30" s="150">
        <f>11244.19+8136.45+7466.64+5356.72+4250.3+1103.98</f>
        <v>37558.280000000006</v>
      </c>
      <c r="S30" s="150">
        <f>11244.19+8136.45+7466.64+5356.72+4250.3</f>
        <v>36454.3</v>
      </c>
      <c r="T30" s="32">
        <f t="shared" si="1"/>
        <v>1103.9800000000032</v>
      </c>
      <c r="U30" s="48">
        <f aca="true" t="shared" si="3" ref="U30:U38">O30+T30</f>
        <v>1103.9800000000032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2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>
        <v>-3500000</v>
      </c>
      <c r="K31" s="134"/>
      <c r="L31" s="134"/>
      <c r="M31" s="135">
        <f>500000+500000+500000+500000+500000</f>
        <v>2500000</v>
      </c>
      <c r="N31" s="52">
        <f t="shared" si="2"/>
        <v>0</v>
      </c>
      <c r="O31" s="149">
        <f t="shared" si="0"/>
        <v>0</v>
      </c>
      <c r="P31" s="136"/>
      <c r="Q31" s="136"/>
      <c r="R31" s="150">
        <f>12667.32+10155.08+10261.23+8739.74+8208.96+2476.84</f>
        <v>52509.17</v>
      </c>
      <c r="S31" s="150">
        <f>12667.32+10155.08+10261.23+8739.74+8208.96</f>
        <v>50032.33</v>
      </c>
      <c r="T31" s="32">
        <f t="shared" si="1"/>
        <v>2476.8399999999965</v>
      </c>
      <c r="U31" s="48">
        <f>O31+T31</f>
        <v>2476.8399999999965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3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>
        <v>9751.16</v>
      </c>
      <c r="S32" s="137"/>
      <c r="T32" s="32">
        <f t="shared" si="1"/>
        <v>9751.16</v>
      </c>
      <c r="U32" s="48">
        <f t="shared" si="3"/>
        <v>19673751.16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4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>
        <v>-4998000</v>
      </c>
      <c r="K33" s="134">
        <v>5497800</v>
      </c>
      <c r="L33" s="134">
        <v>2356200</v>
      </c>
      <c r="M33" s="135">
        <f>714000+714000+714000+714000+714000</f>
        <v>3570000</v>
      </c>
      <c r="N33" s="52">
        <f t="shared" si="2"/>
        <v>3578000</v>
      </c>
      <c r="O33" s="149">
        <f t="shared" si="0"/>
        <v>3578000</v>
      </c>
      <c r="P33" s="136"/>
      <c r="Q33" s="136"/>
      <c r="R33" s="150">
        <v>120699.3</v>
      </c>
      <c r="S33" s="137"/>
      <c r="T33" s="32">
        <f t="shared" si="1"/>
        <v>120699.3</v>
      </c>
      <c r="U33" s="48">
        <f t="shared" si="3"/>
        <v>3698699.3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5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>
        <v>-322000</v>
      </c>
      <c r="K34" s="134">
        <v>354200</v>
      </c>
      <c r="L34" s="134">
        <v>151800</v>
      </c>
      <c r="M34" s="135">
        <f>46000+46000+46000+46000+46000</f>
        <v>230000</v>
      </c>
      <c r="N34" s="52">
        <f t="shared" si="2"/>
        <v>342000</v>
      </c>
      <c r="O34" s="149">
        <f t="shared" si="0"/>
        <v>342000</v>
      </c>
      <c r="P34" s="136"/>
      <c r="Q34" s="136"/>
      <c r="R34" s="150">
        <v>9216.85</v>
      </c>
      <c r="S34" s="137"/>
      <c r="T34" s="32">
        <f t="shared" si="1"/>
        <v>9216.85</v>
      </c>
      <c r="U34" s="48">
        <f>O34+T34</f>
        <v>351216.85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6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>
        <v>-1960000</v>
      </c>
      <c r="K35" s="134">
        <v>2156000</v>
      </c>
      <c r="L35" s="134">
        <v>924000</v>
      </c>
      <c r="M35" s="135">
        <f>280000+280000+280000+280000+280000</f>
        <v>1400000</v>
      </c>
      <c r="N35" s="52">
        <f t="shared" si="2"/>
        <v>3560000</v>
      </c>
      <c r="O35" s="149">
        <f t="shared" si="0"/>
        <v>3560000</v>
      </c>
      <c r="P35" s="155" t="s">
        <v>61</v>
      </c>
      <c r="Q35" s="136"/>
      <c r="R35" s="150">
        <v>74990.43</v>
      </c>
      <c r="S35" s="137"/>
      <c r="T35" s="32">
        <f t="shared" si="1"/>
        <v>74990.43</v>
      </c>
      <c r="U35" s="48">
        <f t="shared" si="3"/>
        <v>3634990.43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7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>
        <v>31942.52</v>
      </c>
      <c r="S37" s="137"/>
      <c r="T37" s="32">
        <f t="shared" si="1"/>
        <v>31942.52</v>
      </c>
      <c r="U37" s="48">
        <f t="shared" si="3"/>
        <v>2531942.52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66.75" customHeight="1">
      <c r="A38" s="50">
        <v>8</v>
      </c>
      <c r="B38" s="42" t="s">
        <v>15</v>
      </c>
      <c r="C38" s="51" t="s">
        <v>103</v>
      </c>
      <c r="D38" s="51" t="s">
        <v>34</v>
      </c>
      <c r="E38" s="44">
        <v>0</v>
      </c>
      <c r="F38" s="45" t="s">
        <v>104</v>
      </c>
      <c r="G38" s="45"/>
      <c r="H38" s="46" t="s">
        <v>28</v>
      </c>
      <c r="I38" s="135">
        <v>0</v>
      </c>
      <c r="J38" s="134">
        <v>12340000</v>
      </c>
      <c r="K38" s="134"/>
      <c r="L38" s="134"/>
      <c r="M38" s="135">
        <v>0</v>
      </c>
      <c r="N38" s="149">
        <f t="shared" si="2"/>
        <v>12340000</v>
      </c>
      <c r="O38" s="149">
        <f t="shared" si="0"/>
        <v>12340000</v>
      </c>
      <c r="P38" s="155"/>
      <c r="Q38" s="136"/>
      <c r="R38" s="150">
        <v>676.16</v>
      </c>
      <c r="S38" s="137"/>
      <c r="T38" s="32">
        <f t="shared" si="1"/>
        <v>676.16</v>
      </c>
      <c r="U38" s="48">
        <f t="shared" si="3"/>
        <v>12340676.16</v>
      </c>
      <c r="V38" s="49"/>
      <c r="W38" s="49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51" ht="15.75" customHeight="1" thickBot="1">
      <c r="A39" s="94" t="s">
        <v>21</v>
      </c>
      <c r="B39" s="18"/>
      <c r="C39" s="18"/>
      <c r="D39" s="95"/>
      <c r="E39" s="96"/>
      <c r="F39" s="97"/>
      <c r="G39" s="97"/>
      <c r="H39" s="97"/>
      <c r="I39" s="133">
        <f>SUM(I23:I38)</f>
        <v>53604000</v>
      </c>
      <c r="J39" s="133">
        <f>SUM(J23:J38)</f>
        <v>0</v>
      </c>
      <c r="K39" s="133">
        <f>SUM(K23:K37)</f>
        <v>12166000</v>
      </c>
      <c r="L39" s="133">
        <f>SUM(L23:L37)</f>
        <v>5214000</v>
      </c>
      <c r="M39" s="133">
        <f>SUM(M23:M38)</f>
        <v>11620000</v>
      </c>
      <c r="N39" s="133">
        <f>SUM(N23:N38)</f>
        <v>41984000</v>
      </c>
      <c r="O39" s="133">
        <f>SUM(O23:O38)</f>
        <v>41984000</v>
      </c>
      <c r="P39" s="133">
        <f aca="true" t="shared" si="4" ref="P39:U39">SUM(P23:P38)</f>
        <v>0</v>
      </c>
      <c r="Q39" s="133">
        <f t="shared" si="4"/>
        <v>0</v>
      </c>
      <c r="R39" s="133">
        <f t="shared" si="4"/>
        <v>337343.87000000005</v>
      </c>
      <c r="S39" s="133">
        <f t="shared" si="4"/>
        <v>86486.63</v>
      </c>
      <c r="T39" s="133">
        <f t="shared" si="4"/>
        <v>250857.24</v>
      </c>
      <c r="U39" s="133">
        <f t="shared" si="4"/>
        <v>42234857.24</v>
      </c>
      <c r="V39" s="133" t="e">
        <f>#REF!+#REF!+#REF!+#REF!+V23+V24+#REF!+#REF!+#REF!+#REF!+V27+#REF!+V28+V29+V30+V31+V25+V26+V32+V33+V34+V35</f>
        <v>#REF!</v>
      </c>
      <c r="W39" s="133" t="e">
        <f>#REF!+#REF!+#REF!+#REF!+W23+W24+#REF!+#REF!+#REF!+#REF!+W27+#REF!+W28+W29+W30+W31+W25+W26+W32+W33+W34+W35</f>
        <v>#REF!</v>
      </c>
      <c r="X39" s="133" t="e">
        <f>#REF!+#REF!+#REF!+#REF!+X23+X24+#REF!+#REF!+#REF!+#REF!+X27+#REF!+X28+X29+X30+X31+X25+X26+X32+X33+X34+X35</f>
        <v>#REF!</v>
      </c>
      <c r="Y39" s="133" t="e">
        <f>#REF!+#REF!+#REF!+#REF!+Y23+Y24+#REF!+#REF!+#REF!+#REF!+Y27+#REF!+Y28+Y29+Y30+Y31+Y25+Y26+Y32+Y33+Y34+Y35</f>
        <v>#REF!</v>
      </c>
      <c r="Z39" s="133" t="e">
        <f>#REF!+#REF!+#REF!+#REF!+Z23+Z24+#REF!+#REF!+#REF!+#REF!+Z27+#REF!+Z28+Z29+Z30+Z31+Z25+Z26+Z32+Z33+Z34+Z35</f>
        <v>#REF!</v>
      </c>
      <c r="AA39" s="133" t="e">
        <f>#REF!+#REF!+#REF!+#REF!+AA23+AA24+#REF!+#REF!+#REF!+#REF!+AA27+#REF!+AA28+AA29+AA30+AA31+AA25+AA26+AA32+AA33+AA34+AA35</f>
        <v>#REF!</v>
      </c>
      <c r="AB39" s="133" t="e">
        <f>#REF!+#REF!+#REF!+#REF!+AB23+AB24+#REF!+#REF!+#REF!+#REF!+AB27+#REF!+AB28+AB29+AB30+AB31+AB25+AB26+AB32+AB33+AB34+AB35</f>
        <v>#REF!</v>
      </c>
      <c r="AC39" s="133" t="e">
        <f>#REF!+#REF!+#REF!+#REF!+AC23+AC24+#REF!+#REF!+#REF!+#REF!+AC27+#REF!+AC28+AC29+AC30+AC31+AC25+AC26+AC32+AC33+AC34+AC35</f>
        <v>#REF!</v>
      </c>
      <c r="AD39" s="133" t="e">
        <f>#REF!+#REF!+#REF!+#REF!+AD23+AD24+#REF!+#REF!+#REF!+#REF!+AD27+#REF!+AD28+AD29+AD30+AD31+AD25+AD26+AD32+AD33+AD34+AD35</f>
        <v>#REF!</v>
      </c>
      <c r="AE39" s="133" t="e">
        <f>#REF!+#REF!+#REF!+#REF!+AE23+AE24+#REF!+#REF!+#REF!+#REF!+AE27+#REF!+AE28+AE29+AE30+AE31+AE25+AE26+AE32+AE33+AE34+AE35</f>
        <v>#REF!</v>
      </c>
      <c r="AF39" s="133" t="e">
        <f>#REF!+#REF!+#REF!+#REF!+AF23+AF24+#REF!+#REF!+#REF!+#REF!+AF27+#REF!+AF28+AF29+AF30+AF31+AF25+AF26+AF32+AF33+AF34+AF35</f>
        <v>#REF!</v>
      </c>
      <c r="AG39" s="133" t="e">
        <f>#REF!+#REF!+#REF!+#REF!+AG23+AG24+#REF!+#REF!+#REF!+#REF!+AG27+#REF!+AG28+AG29+AG30+AG31+AG25+AG26+AG32+AG33+AG34+AG35</f>
        <v>#REF!</v>
      </c>
      <c r="AH39" s="133" t="e">
        <f>#REF!+#REF!+#REF!+#REF!+AH23+AH24+#REF!+#REF!+#REF!+#REF!+AH27+#REF!+AH28+AH29+AH30+AH31+AH25+AH26+AH32+AH33+AH34+AH35</f>
        <v>#REF!</v>
      </c>
      <c r="AI39" s="133" t="e">
        <f>#REF!+#REF!+#REF!+#REF!+AI23+AI24+#REF!+#REF!+#REF!+#REF!+AI27+#REF!+AI28+AI29+AI30+AI31+AI25+AI26+AI32+AI33+AI34+AI35</f>
        <v>#REF!</v>
      </c>
      <c r="AJ39" s="133" t="e">
        <f>#REF!+#REF!+#REF!+#REF!+AJ23+AJ24+#REF!+#REF!+#REF!+#REF!+AJ27+#REF!+AJ28+AJ29+AJ30+AJ31+AJ25+AJ26+AJ32+AJ33+AJ34+AJ35</f>
        <v>#REF!</v>
      </c>
      <c r="AK39" s="133" t="e">
        <f>#REF!+#REF!+#REF!+#REF!+AK23+AK24+#REF!+#REF!+#REF!+#REF!+AK27+#REF!+AK28+AK29+AK30+AK31+AK25+AK26+AK32+AK33+AK34+AK35</f>
        <v>#REF!</v>
      </c>
      <c r="AL39" s="133" t="e">
        <f>#REF!+#REF!+#REF!+#REF!+AL23+AL24+#REF!+#REF!+#REF!+#REF!+AL27+#REF!+AL28+AL29+AL30+AL31+AL25+AL26+AL32+AL33+AL34+AL35</f>
        <v>#REF!</v>
      </c>
      <c r="AM39" s="133" t="e">
        <f>#REF!+#REF!+#REF!+#REF!+AM23+AM24+#REF!+#REF!+#REF!+#REF!+AM27+#REF!+AM28+AM29+AM30+AM31+AM25+AM26+AM32+AM33+AM34+AM35</f>
        <v>#REF!</v>
      </c>
      <c r="AN39" s="133" t="e">
        <f>#REF!+#REF!+#REF!+#REF!+AN23+AN24+#REF!+#REF!+#REF!+#REF!+AN27+#REF!+AN28+AN29+AN30+AN31+AN25+AN26+AN32+AN33+AN34+AN35</f>
        <v>#REF!</v>
      </c>
      <c r="AO39" s="133" t="e">
        <f>#REF!+#REF!+#REF!+#REF!+AO23+AO24+#REF!+#REF!+#REF!+#REF!+AO27+#REF!+AO28+AO29+AO30+AO31+AO25+AO26+AO32+AO33+AO34+AO35</f>
        <v>#REF!</v>
      </c>
      <c r="AP39" s="133" t="e">
        <f>#REF!+#REF!+#REF!+#REF!+AP23+AP24+#REF!+#REF!+#REF!+#REF!+AP27+#REF!+AP28+AP29+AP30+AP31+AP25+AP26+AP32+AP33+AP34+AP35</f>
        <v>#REF!</v>
      </c>
      <c r="AQ39" s="133" t="e">
        <f>#REF!+#REF!+#REF!+#REF!+AQ23+AQ24+#REF!+#REF!+#REF!+#REF!+AQ27+#REF!+AQ28+AQ29+AQ30+AQ31+AQ25+AQ26+AQ32+AQ33+AQ34+AQ35</f>
        <v>#REF!</v>
      </c>
      <c r="AR39" s="133" t="e">
        <f>#REF!+#REF!+#REF!+#REF!+AR23+AR24+#REF!+#REF!+#REF!+#REF!+AR27+#REF!+AR28+AR29+AR30+AR31+AR25+AR26+AR32+AR33+AR34+AR35</f>
        <v>#REF!</v>
      </c>
      <c r="AS39" s="133" t="e">
        <f>#REF!+#REF!+#REF!+#REF!+AS23+AS24+#REF!+#REF!+#REF!+#REF!+AS27+#REF!+AS28+AS29+AS30+AS31+AS25+AS26+AS32+AS33+AS34+AS35</f>
        <v>#REF!</v>
      </c>
      <c r="AT39" s="133" t="e">
        <f>#REF!+#REF!+#REF!+#REF!+AT23+AT24+#REF!+#REF!+#REF!+#REF!+AT27+#REF!+AT28+AT29+AT30+AT31+AT25+AT26+AT32+AT33+AT34+AT35</f>
        <v>#REF!</v>
      </c>
      <c r="AU39" s="133" t="e">
        <f>#REF!+#REF!+#REF!+#REF!+AU23+AU24+#REF!+#REF!+#REF!+#REF!+AU27+#REF!+AU28+AU29+AU30+AU31+AU25+AU26+AU32+AU33+AU34+AU35</f>
        <v>#REF!</v>
      </c>
      <c r="AV39" s="133" t="e">
        <f>#REF!+#REF!+#REF!+#REF!+AV23+AV24+#REF!+#REF!+#REF!+#REF!+AV27+#REF!+AV28+AV29+AV30+AV31+AV25+AV26+AV32+AV33+AV34+AV35</f>
        <v>#REF!</v>
      </c>
      <c r="AW39" s="133" t="e">
        <f>#REF!+#REF!+#REF!+#REF!+AW23+AW24+#REF!+#REF!+#REF!+#REF!+AW27+#REF!+AW28+AW29+AW30+AW31+AW25+AW26+AW32+AW33+AW34+AW35</f>
        <v>#REF!</v>
      </c>
      <c r="AX39" s="133" t="e">
        <f>#REF!+#REF!+#REF!+#REF!+AX23+AX24+#REF!+#REF!+#REF!+#REF!+AX27+#REF!+AX28+AX29+AX30+AX31+AX25+AX26+AX32+AX33+AX34+AX35</f>
        <v>#REF!</v>
      </c>
      <c r="AY39" s="133" t="e">
        <f>#REF!+#REF!+#REF!+#REF!+AY23+AY24+#REF!+#REF!+#REF!+#REF!+AY27+#REF!+AY28+AY29+AY30+AY31+AY25+AY26+AY32+AY33+AY34+AY35</f>
        <v>#REF!</v>
      </c>
    </row>
    <row r="40" spans="1:22" ht="16.5" customHeight="1" thickBot="1">
      <c r="A40" s="138" t="s">
        <v>19</v>
      </c>
      <c r="B40" s="139" t="s">
        <v>23</v>
      </c>
      <c r="C40" s="139"/>
      <c r="D40" s="139"/>
      <c r="E40" s="139"/>
      <c r="F40" s="139"/>
      <c r="G40" s="139"/>
      <c r="H40" s="20"/>
      <c r="I40" s="10"/>
      <c r="J40" s="10"/>
      <c r="K40" s="10"/>
      <c r="L40" s="10"/>
      <c r="M40" s="10"/>
      <c r="N40" s="10"/>
      <c r="O40" s="98"/>
      <c r="P40" s="10"/>
      <c r="Q40" s="10"/>
      <c r="R40" s="10"/>
      <c r="S40" s="142"/>
      <c r="T40" s="10"/>
      <c r="U40" s="143"/>
      <c r="V40" s="25"/>
    </row>
    <row r="41" spans="1:22" ht="69" customHeight="1">
      <c r="A41" s="148">
        <v>1</v>
      </c>
      <c r="B41" s="42" t="s">
        <v>23</v>
      </c>
      <c r="C41" s="141" t="s">
        <v>63</v>
      </c>
      <c r="D41" s="131" t="s">
        <v>64</v>
      </c>
      <c r="E41" s="17">
        <v>100000000</v>
      </c>
      <c r="F41" s="151" t="s">
        <v>65</v>
      </c>
      <c r="G41" s="154" t="s">
        <v>62</v>
      </c>
      <c r="H41" s="132" t="s">
        <v>28</v>
      </c>
      <c r="I41" s="152">
        <v>10000000</v>
      </c>
      <c r="J41" s="152">
        <v>0</v>
      </c>
      <c r="K41" s="152"/>
      <c r="L41" s="152"/>
      <c r="M41" s="152">
        <v>0</v>
      </c>
      <c r="N41" s="6">
        <f>I41+J41-M41</f>
        <v>10000000</v>
      </c>
      <c r="O41" s="6">
        <f>N41</f>
        <v>10000000</v>
      </c>
      <c r="P41" s="3"/>
      <c r="Q41" s="3"/>
      <c r="R41" s="3">
        <f>80050.6+72303.77+80050.59+77468.32+80050.59+77468.32</f>
        <v>467392.19</v>
      </c>
      <c r="S41" s="3">
        <f>80050.6+72303.77+80050.59+77468.32+80050.59</f>
        <v>389923.87</v>
      </c>
      <c r="T41" s="6">
        <f>Q41+R41-S41</f>
        <v>77468.32</v>
      </c>
      <c r="U41" s="6">
        <f>N41+Q41+R41-S41</f>
        <v>10077468.32</v>
      </c>
      <c r="V41" s="25"/>
    </row>
    <row r="42" spans="1:22" ht="69" customHeight="1">
      <c r="A42" s="148">
        <v>1</v>
      </c>
      <c r="B42" s="42" t="s">
        <v>23</v>
      </c>
      <c r="C42" s="141" t="s">
        <v>74</v>
      </c>
      <c r="D42" s="131" t="s">
        <v>41</v>
      </c>
      <c r="E42" s="17">
        <v>160000000</v>
      </c>
      <c r="F42" s="151" t="s">
        <v>76</v>
      </c>
      <c r="G42" s="154" t="s">
        <v>75</v>
      </c>
      <c r="H42" s="132" t="s">
        <v>28</v>
      </c>
      <c r="I42" s="152">
        <v>16000000</v>
      </c>
      <c r="J42" s="152">
        <v>0</v>
      </c>
      <c r="K42" s="152"/>
      <c r="L42" s="152"/>
      <c r="M42" s="152">
        <v>0</v>
      </c>
      <c r="N42" s="6">
        <f>I42+J42-M42</f>
        <v>16000000</v>
      </c>
      <c r="O42" s="6">
        <f>N42</f>
        <v>16000000</v>
      </c>
      <c r="P42" s="3"/>
      <c r="Q42" s="3"/>
      <c r="R42" s="3">
        <f>132282.52+119480.99+132282.52+128015.34+132282.52+128015.34</f>
        <v>772359.23</v>
      </c>
      <c r="S42" s="3">
        <f>132282.52+119480.99+132282.52+128015.34+132282.52+128015.34</f>
        <v>772359.23</v>
      </c>
      <c r="T42" s="6">
        <f>Q42+R42-S42</f>
        <v>0</v>
      </c>
      <c r="U42" s="6">
        <f>N42+Q42+R42-S42</f>
        <v>16000000</v>
      </c>
      <c r="V42" s="25"/>
    </row>
    <row r="43" spans="1:51" ht="16.5" customHeight="1" thickBot="1">
      <c r="A43" s="94" t="s">
        <v>21</v>
      </c>
      <c r="B43" s="140"/>
      <c r="C43" s="140"/>
      <c r="D43" s="14"/>
      <c r="E43" s="14"/>
      <c r="F43" s="14"/>
      <c r="G43" s="14"/>
      <c r="H43" s="14"/>
      <c r="I43" s="5">
        <f>I41+I42</f>
        <v>26000000</v>
      </c>
      <c r="J43" s="5">
        <f aca="true" t="shared" si="5" ref="J43:AY43">J41+J42</f>
        <v>0</v>
      </c>
      <c r="K43" s="5">
        <f t="shared" si="5"/>
        <v>0</v>
      </c>
      <c r="L43" s="5">
        <f t="shared" si="5"/>
        <v>0</v>
      </c>
      <c r="M43" s="5">
        <f t="shared" si="5"/>
        <v>0</v>
      </c>
      <c r="N43" s="5">
        <f t="shared" si="5"/>
        <v>26000000</v>
      </c>
      <c r="O43" s="5">
        <f t="shared" si="5"/>
        <v>26000000</v>
      </c>
      <c r="P43" s="5">
        <f t="shared" si="5"/>
        <v>0</v>
      </c>
      <c r="Q43" s="5">
        <f t="shared" si="5"/>
        <v>0</v>
      </c>
      <c r="R43" s="5">
        <f t="shared" si="5"/>
        <v>1239751.42</v>
      </c>
      <c r="S43" s="5">
        <f t="shared" si="5"/>
        <v>1162283.1</v>
      </c>
      <c r="T43" s="5">
        <f t="shared" si="5"/>
        <v>77468.32</v>
      </c>
      <c r="U43" s="5">
        <f t="shared" si="5"/>
        <v>26077468.32</v>
      </c>
      <c r="V43" s="5">
        <f t="shared" si="5"/>
        <v>0</v>
      </c>
      <c r="W43" s="5">
        <f t="shared" si="5"/>
        <v>0</v>
      </c>
      <c r="X43" s="5">
        <f t="shared" si="5"/>
        <v>0</v>
      </c>
      <c r="Y43" s="5">
        <f t="shared" si="5"/>
        <v>0</v>
      </c>
      <c r="Z43" s="5">
        <f t="shared" si="5"/>
        <v>0</v>
      </c>
      <c r="AA43" s="5">
        <f t="shared" si="5"/>
        <v>0</v>
      </c>
      <c r="AB43" s="5">
        <f t="shared" si="5"/>
        <v>0</v>
      </c>
      <c r="AC43" s="5">
        <f t="shared" si="5"/>
        <v>0</v>
      </c>
      <c r="AD43" s="5">
        <f t="shared" si="5"/>
        <v>0</v>
      </c>
      <c r="AE43" s="5">
        <f t="shared" si="5"/>
        <v>0</v>
      </c>
      <c r="AF43" s="5">
        <f t="shared" si="5"/>
        <v>0</v>
      </c>
      <c r="AG43" s="5">
        <f t="shared" si="5"/>
        <v>0</v>
      </c>
      <c r="AH43" s="5">
        <f t="shared" si="5"/>
        <v>0</v>
      </c>
      <c r="AI43" s="5">
        <f t="shared" si="5"/>
        <v>0</v>
      </c>
      <c r="AJ43" s="5">
        <f t="shared" si="5"/>
        <v>0</v>
      </c>
      <c r="AK43" s="5">
        <f t="shared" si="5"/>
        <v>0</v>
      </c>
      <c r="AL43" s="5">
        <f t="shared" si="5"/>
        <v>0</v>
      </c>
      <c r="AM43" s="5">
        <f t="shared" si="5"/>
        <v>0</v>
      </c>
      <c r="AN43" s="5">
        <f t="shared" si="5"/>
        <v>0</v>
      </c>
      <c r="AO43" s="5">
        <f t="shared" si="5"/>
        <v>0</v>
      </c>
      <c r="AP43" s="5">
        <f t="shared" si="5"/>
        <v>0</v>
      </c>
      <c r="AQ43" s="5">
        <f t="shared" si="5"/>
        <v>0</v>
      </c>
      <c r="AR43" s="5">
        <f t="shared" si="5"/>
        <v>0</v>
      </c>
      <c r="AS43" s="5">
        <f t="shared" si="5"/>
        <v>0</v>
      </c>
      <c r="AT43" s="5">
        <f t="shared" si="5"/>
        <v>0</v>
      </c>
      <c r="AU43" s="5">
        <f t="shared" si="5"/>
        <v>0</v>
      </c>
      <c r="AV43" s="5">
        <f t="shared" si="5"/>
        <v>0</v>
      </c>
      <c r="AW43" s="5">
        <f t="shared" si="5"/>
        <v>0</v>
      </c>
      <c r="AX43" s="5">
        <f t="shared" si="5"/>
        <v>0</v>
      </c>
      <c r="AY43" s="5">
        <f t="shared" si="5"/>
        <v>0</v>
      </c>
    </row>
    <row r="44" spans="1:38" s="82" customFormat="1" ht="18" customHeight="1" thickBot="1">
      <c r="A44" s="100" t="s">
        <v>5</v>
      </c>
      <c r="B44" s="101" t="s">
        <v>22</v>
      </c>
      <c r="C44" s="101"/>
      <c r="D44" s="144"/>
      <c r="E44" s="144"/>
      <c r="F44" s="144"/>
      <c r="G44" s="144"/>
      <c r="H44" s="144"/>
      <c r="I44" s="144"/>
      <c r="J44" s="140"/>
      <c r="K44" s="140"/>
      <c r="L44" s="140"/>
      <c r="M44" s="140"/>
      <c r="N44" s="140"/>
      <c r="O44" s="140"/>
      <c r="P44" s="140"/>
      <c r="Q44" s="140"/>
      <c r="R44" s="140"/>
      <c r="S44" s="147"/>
      <c r="T44" s="140"/>
      <c r="U44" s="145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1:38" s="82" customFormat="1" ht="69.75" customHeight="1" hidden="1">
      <c r="A45" s="100"/>
      <c r="B45" s="102"/>
      <c r="C45" s="103"/>
      <c r="D45" s="103"/>
      <c r="E45" s="104"/>
      <c r="F45" s="103"/>
      <c r="G45" s="153"/>
      <c r="H45" s="46"/>
      <c r="I45" s="61"/>
      <c r="J45" s="61"/>
      <c r="K45" s="156"/>
      <c r="L45" s="156"/>
      <c r="M45" s="33"/>
      <c r="N45" s="61"/>
      <c r="O45" s="32"/>
      <c r="P45" s="21"/>
      <c r="Q45" s="21"/>
      <c r="R45" s="21"/>
      <c r="S45" s="146"/>
      <c r="T45" s="61"/>
      <c r="U45" s="61"/>
      <c r="V45" s="81"/>
      <c r="W45" s="105"/>
      <c r="X45" s="105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38" s="82" customFormat="1" ht="18" customHeight="1" thickBot="1">
      <c r="A46" s="106" t="s">
        <v>21</v>
      </c>
      <c r="B46" s="107"/>
      <c r="C46" s="108"/>
      <c r="D46" s="108"/>
      <c r="E46" s="109"/>
      <c r="F46" s="110"/>
      <c r="G46" s="110"/>
      <c r="H46" s="103"/>
      <c r="I46" s="34">
        <f>I45</f>
        <v>0</v>
      </c>
      <c r="J46" s="34">
        <f>J45</f>
        <v>0</v>
      </c>
      <c r="K46" s="34"/>
      <c r="L46" s="34"/>
      <c r="M46" s="34">
        <f>M45</f>
        <v>0</v>
      </c>
      <c r="N46" s="34">
        <f>N45</f>
        <v>0</v>
      </c>
      <c r="O46" s="34">
        <f>O45</f>
        <v>0</v>
      </c>
      <c r="P46" s="22">
        <v>3</v>
      </c>
      <c r="Q46" s="22">
        <v>0</v>
      </c>
      <c r="R46" s="22">
        <v>0</v>
      </c>
      <c r="S46" s="22">
        <v>0</v>
      </c>
      <c r="T46" s="34">
        <f>N46</f>
        <v>0</v>
      </c>
      <c r="U46" s="34">
        <f>T46</f>
        <v>0</v>
      </c>
      <c r="V46" s="81"/>
      <c r="W46" s="11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23" ht="16.5" customHeight="1" thickBot="1">
      <c r="A47" s="112"/>
      <c r="B47" s="20" t="s">
        <v>16</v>
      </c>
      <c r="C47" s="19"/>
      <c r="D47" s="19"/>
      <c r="E47" s="19"/>
      <c r="F47" s="99"/>
      <c r="G47" s="99"/>
      <c r="H47" s="113"/>
      <c r="I47" s="23">
        <f aca="true" t="shared" si="6" ref="I47:U47">I39+I43</f>
        <v>79604000</v>
      </c>
      <c r="J47" s="23">
        <f t="shared" si="6"/>
        <v>0</v>
      </c>
      <c r="K47" s="23">
        <f t="shared" si="6"/>
        <v>12166000</v>
      </c>
      <c r="L47" s="23">
        <f t="shared" si="6"/>
        <v>5214000</v>
      </c>
      <c r="M47" s="23">
        <f t="shared" si="6"/>
        <v>11620000</v>
      </c>
      <c r="N47" s="23">
        <f t="shared" si="6"/>
        <v>67984000</v>
      </c>
      <c r="O47" s="23">
        <f t="shared" si="6"/>
        <v>67984000</v>
      </c>
      <c r="P47" s="23">
        <f t="shared" si="6"/>
        <v>0</v>
      </c>
      <c r="Q47" s="23">
        <f t="shared" si="6"/>
        <v>0</v>
      </c>
      <c r="R47" s="23">
        <f t="shared" si="6"/>
        <v>1577095.29</v>
      </c>
      <c r="S47" s="23">
        <f t="shared" si="6"/>
        <v>1248769.73</v>
      </c>
      <c r="T47" s="23">
        <f t="shared" si="6"/>
        <v>328325.56</v>
      </c>
      <c r="U47" s="23">
        <f t="shared" si="6"/>
        <v>68312325.56</v>
      </c>
      <c r="V47" s="25"/>
      <c r="W47" s="114"/>
    </row>
    <row r="48" spans="1:22" ht="16.5" customHeight="1">
      <c r="A48" s="25"/>
      <c r="B48" s="81"/>
      <c r="C48" s="10"/>
      <c r="D48" s="10"/>
      <c r="E48" s="10"/>
      <c r="F48" s="10"/>
      <c r="G48" s="10"/>
      <c r="H48" s="10"/>
      <c r="I48" s="24"/>
      <c r="J48" s="24"/>
      <c r="K48" s="24"/>
      <c r="L48" s="24"/>
      <c r="M48" s="24"/>
      <c r="N48" s="24"/>
      <c r="O48" s="24"/>
      <c r="P48" s="40"/>
      <c r="Q48" s="24"/>
      <c r="R48" s="24"/>
      <c r="S48" s="24"/>
      <c r="T48" s="24"/>
      <c r="U48" s="24"/>
      <c r="V48" s="25"/>
    </row>
    <row r="49" spans="1:22" ht="16.5" customHeight="1">
      <c r="A49" s="25"/>
      <c r="B49" s="10" t="s">
        <v>35</v>
      </c>
      <c r="C49" s="10"/>
      <c r="D49" s="10"/>
      <c r="E49" s="10"/>
      <c r="F49" s="10"/>
      <c r="G49" s="10"/>
      <c r="H49" s="10"/>
      <c r="I49" s="24" t="s">
        <v>39</v>
      </c>
      <c r="J49" s="24"/>
      <c r="K49" s="24"/>
      <c r="L49" s="24"/>
      <c r="M49" s="24"/>
      <c r="N49" s="24"/>
      <c r="O49" s="24"/>
      <c r="P49" s="40"/>
      <c r="Q49" s="24"/>
      <c r="R49" s="24"/>
      <c r="S49" s="40"/>
      <c r="T49" s="24"/>
      <c r="U49" s="24"/>
      <c r="V49" s="25"/>
    </row>
    <row r="50" spans="1:22" ht="16.5" customHeight="1">
      <c r="A50" s="25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24"/>
      <c r="T50" s="10"/>
      <c r="U50" s="10"/>
      <c r="V50" s="25"/>
    </row>
    <row r="51" spans="1:22" ht="15.75" customHeight="1">
      <c r="A51" s="25"/>
      <c r="B51" s="10" t="s">
        <v>27</v>
      </c>
      <c r="C51" s="10"/>
      <c r="D51" s="115"/>
      <c r="E51" s="116"/>
      <c r="F51" s="116"/>
      <c r="G51" s="116"/>
      <c r="H51" s="116"/>
      <c r="I51" s="35" t="s">
        <v>43</v>
      </c>
      <c r="J51" s="35"/>
      <c r="K51" s="35"/>
      <c r="L51" s="35"/>
      <c r="M51" s="35"/>
      <c r="N51" s="35"/>
      <c r="O51" s="35"/>
      <c r="P51" s="10"/>
      <c r="Q51" s="10"/>
      <c r="R51" s="10"/>
      <c r="S51" s="10"/>
      <c r="T51" s="10"/>
      <c r="U51" s="10"/>
      <c r="V51" s="25"/>
    </row>
    <row r="52" spans="1:22" ht="15.75" customHeight="1">
      <c r="A52" s="25"/>
      <c r="B52" s="10" t="s">
        <v>26</v>
      </c>
      <c r="C52" s="10"/>
      <c r="D52" s="115"/>
      <c r="E52" s="116"/>
      <c r="F52" s="116"/>
      <c r="G52" s="116"/>
      <c r="H52" s="116"/>
      <c r="I52" s="35"/>
      <c r="J52" s="35"/>
      <c r="K52" s="35"/>
      <c r="L52" s="35"/>
      <c r="M52" s="35"/>
      <c r="N52" s="117"/>
      <c r="O52" s="117"/>
      <c r="P52" s="10"/>
      <c r="Q52" s="10"/>
      <c r="R52" s="10"/>
      <c r="S52" s="10"/>
      <c r="T52" s="10"/>
      <c r="U52" s="10"/>
      <c r="V52" s="25"/>
    </row>
    <row r="53" spans="1:22" ht="12.75">
      <c r="A53" s="25"/>
      <c r="B53" s="10"/>
      <c r="C53" s="10"/>
      <c r="D53" s="39"/>
      <c r="E53" s="10"/>
      <c r="F53" s="10"/>
      <c r="G53" s="10"/>
      <c r="H53" s="10"/>
      <c r="I53" s="36"/>
      <c r="J53" s="36"/>
      <c r="K53" s="36"/>
      <c r="L53" s="36"/>
      <c r="M53" s="36"/>
      <c r="N53" s="36"/>
      <c r="O53" s="36"/>
      <c r="P53" s="10"/>
      <c r="Q53" s="10"/>
      <c r="R53" s="10"/>
      <c r="S53" s="10"/>
      <c r="T53" s="10"/>
      <c r="U53" s="10"/>
      <c r="V53" s="25"/>
    </row>
    <row r="54" spans="1:22" ht="0.75" customHeight="1">
      <c r="A54" s="25"/>
      <c r="B54" s="10"/>
      <c r="C54" s="10"/>
      <c r="D54" s="39"/>
      <c r="E54" s="10"/>
      <c r="F54" s="10"/>
      <c r="G54" s="10"/>
      <c r="H54" s="10"/>
      <c r="I54" s="118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14.25" customHeight="1" hidden="1">
      <c r="A55" s="25"/>
      <c r="B55" s="10"/>
      <c r="C55" s="10"/>
      <c r="D55" s="39"/>
      <c r="E55" s="10"/>
      <c r="F55" s="10"/>
      <c r="G55" s="10"/>
      <c r="H55" s="10"/>
      <c r="I55" s="36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13.5" customHeight="1" hidden="1">
      <c r="A56" s="25"/>
      <c r="B56" s="10"/>
      <c r="C56" s="10"/>
      <c r="D56" s="10"/>
      <c r="E56" s="10"/>
      <c r="F56" s="10"/>
      <c r="G56" s="10"/>
      <c r="H56" s="10"/>
      <c r="I56" s="37"/>
      <c r="J56" s="37"/>
      <c r="K56" s="37"/>
      <c r="L56" s="37"/>
      <c r="M56" s="37"/>
      <c r="N56" s="37"/>
      <c r="O56" s="37"/>
      <c r="P56" s="10"/>
      <c r="Q56" s="10"/>
      <c r="R56" s="10"/>
      <c r="S56" s="10"/>
      <c r="T56" s="10"/>
      <c r="U56" s="10"/>
      <c r="V56" s="25"/>
    </row>
    <row r="57" spans="2:21" s="25" customFormat="1" ht="12.75" customHeight="1">
      <c r="B57" s="10" t="s">
        <v>14</v>
      </c>
      <c r="C57" s="39"/>
      <c r="D57" s="119"/>
      <c r="E57" s="120"/>
      <c r="F57" s="10"/>
      <c r="G57" s="10"/>
      <c r="H57" s="10"/>
      <c r="I57" s="37"/>
      <c r="J57" s="37"/>
      <c r="K57" s="37"/>
      <c r="L57" s="37"/>
      <c r="M57" s="37"/>
      <c r="N57" s="37"/>
      <c r="O57" s="37"/>
      <c r="P57" s="10"/>
      <c r="Q57" s="10"/>
      <c r="R57" s="10"/>
      <c r="S57" s="10"/>
      <c r="T57" s="10"/>
      <c r="U57" s="10"/>
    </row>
    <row r="58" spans="1:21" s="25" customFormat="1" ht="9.75" customHeight="1">
      <c r="A58" s="121"/>
      <c r="B58" s="122" t="s">
        <v>20</v>
      </c>
      <c r="C58" s="10"/>
      <c r="D58" s="10"/>
      <c r="E58" s="123"/>
      <c r="F58" s="123"/>
      <c r="G58" s="123"/>
      <c r="H58" s="124"/>
      <c r="I58" s="38"/>
      <c r="J58" s="38"/>
      <c r="K58" s="38"/>
      <c r="L58" s="38"/>
      <c r="M58" s="38"/>
      <c r="N58" s="38"/>
      <c r="O58" s="38"/>
      <c r="P58" s="10"/>
      <c r="Q58" s="10"/>
      <c r="R58" s="10"/>
      <c r="S58" s="10"/>
      <c r="T58" s="10"/>
      <c r="U58" s="10"/>
    </row>
    <row r="59" spans="2:21" s="25" customFormat="1" ht="12.75">
      <c r="B59" s="39"/>
      <c r="C59" s="10"/>
      <c r="D59" s="115"/>
      <c r="E59" s="38"/>
      <c r="F59" s="38"/>
      <c r="G59" s="38"/>
      <c r="H59" s="38"/>
      <c r="I59" s="35"/>
      <c r="J59" s="35"/>
      <c r="K59" s="35"/>
      <c r="L59" s="35"/>
      <c r="M59" s="35"/>
      <c r="N59" s="35"/>
      <c r="O59" s="35"/>
      <c r="P59" s="10"/>
      <c r="Q59" s="10"/>
      <c r="R59" s="10"/>
      <c r="S59" s="10"/>
      <c r="T59" s="10"/>
      <c r="U59" s="10"/>
    </row>
    <row r="60" spans="2:21" s="25" customFormat="1" ht="12.75">
      <c r="B60" s="10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125"/>
      <c r="G63" s="125"/>
      <c r="H63" s="125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1:21" s="25" customFormat="1" ht="17.25">
      <c r="A64" s="121"/>
      <c r="B64" s="121"/>
      <c r="C64" s="126"/>
      <c r="D64" s="126"/>
      <c r="E64" s="126"/>
      <c r="F64" s="126"/>
      <c r="G64" s="126"/>
      <c r="H64" s="126"/>
      <c r="I64" s="39"/>
      <c r="J64" s="39"/>
      <c r="K64" s="39"/>
      <c r="L64" s="39"/>
      <c r="M64" s="39"/>
      <c r="N64" s="39"/>
      <c r="O64" s="39"/>
      <c r="P64" s="10"/>
      <c r="Q64" s="10"/>
      <c r="R64" s="10"/>
      <c r="S64" s="10"/>
      <c r="T64" s="10"/>
      <c r="U64" s="10"/>
    </row>
    <row r="65" spans="2:21" s="25" customFormat="1" ht="12.75">
      <c r="B65" s="10"/>
      <c r="C65" s="10"/>
      <c r="D65" s="115"/>
      <c r="E65" s="38"/>
      <c r="F65" s="38"/>
      <c r="G65" s="38"/>
      <c r="H65" s="38"/>
      <c r="I65" s="35"/>
      <c r="J65" s="35"/>
      <c r="K65" s="35"/>
      <c r="L65" s="35"/>
      <c r="M65" s="35"/>
      <c r="N65" s="35"/>
      <c r="O65" s="35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1:21" s="25" customFormat="1" ht="17.25">
      <c r="A68" s="127"/>
      <c r="B68" s="10"/>
      <c r="C68" s="10"/>
      <c r="D68" s="10"/>
      <c r="E68" s="124"/>
      <c r="F68" s="124"/>
      <c r="G68" s="124"/>
      <c r="H68" s="124"/>
      <c r="I68" s="38"/>
      <c r="J68" s="38"/>
      <c r="K68" s="38"/>
      <c r="L68" s="38"/>
      <c r="M68" s="38"/>
      <c r="N68" s="38"/>
      <c r="O68" s="38"/>
      <c r="P68" s="10"/>
      <c r="Q68" s="10"/>
      <c r="R68" s="10"/>
      <c r="S68" s="10"/>
      <c r="T68" s="10"/>
      <c r="U68" s="10"/>
    </row>
    <row r="69" spans="2:21" s="25" customFormat="1" ht="12.75">
      <c r="B69" s="10"/>
      <c r="C69" s="10"/>
      <c r="D69" s="115"/>
      <c r="E69" s="116"/>
      <c r="F69" s="128"/>
      <c r="G69" s="128"/>
      <c r="H69" s="128"/>
      <c r="I69" s="35"/>
      <c r="J69" s="35"/>
      <c r="K69" s="35"/>
      <c r="L69" s="35"/>
      <c r="M69" s="35"/>
      <c r="N69" s="35"/>
      <c r="O69" s="35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1:21" s="25" customFormat="1" ht="17.25">
      <c r="A72" s="121"/>
      <c r="B72" s="121"/>
      <c r="C72" s="121"/>
      <c r="D72" s="121"/>
      <c r="E72" s="121"/>
      <c r="F72" s="121"/>
      <c r="G72" s="121"/>
      <c r="H72" s="129"/>
      <c r="I72" s="13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2:21" s="25" customFormat="1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115"/>
      <c r="E74" s="116"/>
      <c r="F74" s="116"/>
      <c r="G74" s="116"/>
      <c r="H74" s="116"/>
      <c r="I74" s="35"/>
      <c r="J74" s="35"/>
      <c r="K74" s="35"/>
      <c r="L74" s="35"/>
      <c r="M74" s="35"/>
      <c r="N74" s="117"/>
      <c r="O74" s="117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39"/>
      <c r="E75" s="10"/>
      <c r="F75" s="10"/>
      <c r="G75" s="10"/>
      <c r="H75" s="10"/>
      <c r="I75" s="36"/>
      <c r="J75" s="36"/>
      <c r="K75" s="36"/>
      <c r="L75" s="36"/>
      <c r="M75" s="36"/>
      <c r="N75" s="36"/>
      <c r="O75" s="36"/>
      <c r="P75" s="10"/>
      <c r="Q75" s="10"/>
      <c r="R75" s="10"/>
      <c r="T75" s="10"/>
      <c r="U75" s="10"/>
    </row>
    <row r="76" s="25" customFormat="1" ht="12.75">
      <c r="S76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7"/>
  <sheetViews>
    <sheetView zoomScalePageLayoutView="0" workbookViewId="0" topLeftCell="H1">
      <selection activeCell="H8" sqref="H8"/>
    </sheetView>
  </sheetViews>
  <sheetFormatPr defaultColWidth="9.125" defaultRowHeight="12.75"/>
  <cols>
    <col min="1" max="1" width="3.625" style="8" customWidth="1"/>
    <col min="2" max="2" width="7.50390625" style="8" customWidth="1"/>
    <col min="3" max="3" width="15.5039062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375" style="8" customWidth="1"/>
    <col min="9" max="9" width="16.50390625" style="8" customWidth="1"/>
    <col min="10" max="10" width="15.625" style="8" customWidth="1"/>
    <col min="11" max="12" width="13.125" style="8" hidden="1" customWidth="1"/>
    <col min="13" max="13" width="14.50390625" style="8" customWidth="1"/>
    <col min="14" max="14" width="17.50390625" style="8" customWidth="1"/>
    <col min="15" max="15" width="18.00390625" style="8" customWidth="1"/>
    <col min="16" max="16" width="6.50390625" style="8" customWidth="1"/>
    <col min="17" max="17" width="14.00390625" style="8" customWidth="1"/>
    <col min="18" max="18" width="13.50390625" style="8" customWidth="1"/>
    <col min="19" max="20" width="14.125" style="8" customWidth="1"/>
    <col min="21" max="21" width="17.00390625" style="8" customWidth="1"/>
    <col min="22" max="22" width="2.50390625" style="8" hidden="1" customWidth="1"/>
    <col min="23" max="23" width="15.125" style="8" hidden="1" customWidth="1"/>
    <col min="24" max="24" width="12.875" style="8" hidden="1" customWidth="1"/>
    <col min="25" max="25" width="11.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105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106</v>
      </c>
      <c r="K8" s="11" t="s">
        <v>70</v>
      </c>
      <c r="L8" s="11" t="s">
        <v>71</v>
      </c>
      <c r="M8" s="11" t="s">
        <v>107</v>
      </c>
      <c r="N8" s="11" t="s">
        <v>108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8">N23</f>
        <v>0</v>
      </c>
      <c r="P23" s="7"/>
      <c r="Q23" s="7"/>
      <c r="R23" s="5"/>
      <c r="S23" s="7"/>
      <c r="T23" s="6">
        <f aca="true" t="shared" si="1" ref="T23:T38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1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>
        <v>-1560000</v>
      </c>
      <c r="K30" s="134">
        <v>4158000</v>
      </c>
      <c r="L30" s="134">
        <v>1782000</v>
      </c>
      <c r="M30" s="135">
        <f>785000+785000+785000+785000+780000</f>
        <v>3920000</v>
      </c>
      <c r="N30" s="52">
        <f aca="true" t="shared" si="2" ref="N30:N38">I30+J30-M30</f>
        <v>0</v>
      </c>
      <c r="O30" s="149">
        <f t="shared" si="0"/>
        <v>0</v>
      </c>
      <c r="P30" s="136"/>
      <c r="Q30" s="136"/>
      <c r="R30" s="150">
        <f>11244.19+8136.45+7466.64+5356.72+4250.3+1103.98</f>
        <v>37558.280000000006</v>
      </c>
      <c r="S30" s="150">
        <f>11244.19+8136.45+7466.64+5356.72+4250.3+1103.98</f>
        <v>37558.280000000006</v>
      </c>
      <c r="T30" s="32">
        <f t="shared" si="1"/>
        <v>0</v>
      </c>
      <c r="U30" s="48">
        <f aca="true" t="shared" si="3" ref="U30:U38">O30+T30</f>
        <v>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2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>
        <v>-3500000</v>
      </c>
      <c r="K31" s="134"/>
      <c r="L31" s="134"/>
      <c r="M31" s="135">
        <f>500000+500000+500000+500000+500000</f>
        <v>2500000</v>
      </c>
      <c r="N31" s="52">
        <f t="shared" si="2"/>
        <v>0</v>
      </c>
      <c r="O31" s="149">
        <f t="shared" si="0"/>
        <v>0</v>
      </c>
      <c r="P31" s="136"/>
      <c r="Q31" s="136"/>
      <c r="R31" s="150">
        <f>12667.32+10155.08+10261.23+8739.74+8208.96+2476.84</f>
        <v>52509.17</v>
      </c>
      <c r="S31" s="150">
        <f>12667.32+10155.08+10261.23+8739.74+8208.96+2476.84</f>
        <v>52509.17</v>
      </c>
      <c r="T31" s="32">
        <f t="shared" si="1"/>
        <v>0</v>
      </c>
      <c r="U31" s="48">
        <f>O31+T31</f>
        <v>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3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>
        <v>9751.16</v>
      </c>
      <c r="S32" s="137">
        <v>9751.16</v>
      </c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4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>
        <v>-4998000</v>
      </c>
      <c r="K33" s="134">
        <v>5497800</v>
      </c>
      <c r="L33" s="134">
        <v>2356200</v>
      </c>
      <c r="M33" s="135">
        <f>714000+714000+714000+714000+714000</f>
        <v>3570000</v>
      </c>
      <c r="N33" s="52">
        <f t="shared" si="2"/>
        <v>3578000</v>
      </c>
      <c r="O33" s="149">
        <f t="shared" si="0"/>
        <v>3578000</v>
      </c>
      <c r="P33" s="136"/>
      <c r="Q33" s="136"/>
      <c r="R33" s="150">
        <v>120699.3</v>
      </c>
      <c r="S33" s="137">
        <v>120699.3</v>
      </c>
      <c r="T33" s="32">
        <f t="shared" si="1"/>
        <v>0</v>
      </c>
      <c r="U33" s="48">
        <f t="shared" si="3"/>
        <v>3578000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5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>
        <v>-322000</v>
      </c>
      <c r="K34" s="134">
        <v>354200</v>
      </c>
      <c r="L34" s="134">
        <v>151800</v>
      </c>
      <c r="M34" s="135">
        <f>46000+46000+46000+46000+46000</f>
        <v>230000</v>
      </c>
      <c r="N34" s="52">
        <f t="shared" si="2"/>
        <v>342000</v>
      </c>
      <c r="O34" s="149">
        <f t="shared" si="0"/>
        <v>342000</v>
      </c>
      <c r="P34" s="136"/>
      <c r="Q34" s="136"/>
      <c r="R34" s="150">
        <v>9216.85</v>
      </c>
      <c r="S34" s="137">
        <v>9216.85</v>
      </c>
      <c r="T34" s="32">
        <f t="shared" si="1"/>
        <v>0</v>
      </c>
      <c r="U34" s="48">
        <f>O34+T34</f>
        <v>342000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6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>
        <v>-1960000</v>
      </c>
      <c r="K35" s="134">
        <v>2156000</v>
      </c>
      <c r="L35" s="134">
        <v>924000</v>
      </c>
      <c r="M35" s="135">
        <f>280000+280000+280000+280000+280000</f>
        <v>1400000</v>
      </c>
      <c r="N35" s="52">
        <f t="shared" si="2"/>
        <v>3560000</v>
      </c>
      <c r="O35" s="149">
        <f t="shared" si="0"/>
        <v>3560000</v>
      </c>
      <c r="P35" s="155" t="s">
        <v>61</v>
      </c>
      <c r="Q35" s="136"/>
      <c r="R35" s="150">
        <v>74990.43</v>
      </c>
      <c r="S35" s="137">
        <v>74990.43</v>
      </c>
      <c r="T35" s="32">
        <f t="shared" si="1"/>
        <v>0</v>
      </c>
      <c r="U35" s="48">
        <f t="shared" si="3"/>
        <v>3560000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7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>
        <v>31942.52</v>
      </c>
      <c r="S37" s="137">
        <v>31942.52</v>
      </c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66.75" customHeight="1">
      <c r="A38" s="50">
        <v>8</v>
      </c>
      <c r="B38" s="42" t="s">
        <v>15</v>
      </c>
      <c r="C38" s="51" t="s">
        <v>103</v>
      </c>
      <c r="D38" s="51" t="s">
        <v>34</v>
      </c>
      <c r="E38" s="44">
        <v>0</v>
      </c>
      <c r="F38" s="45" t="s">
        <v>104</v>
      </c>
      <c r="G38" s="45"/>
      <c r="H38" s="46" t="s">
        <v>28</v>
      </c>
      <c r="I38" s="135">
        <v>0</v>
      </c>
      <c r="J38" s="134">
        <v>12340000</v>
      </c>
      <c r="K38" s="134"/>
      <c r="L38" s="134"/>
      <c r="M38" s="135">
        <v>0</v>
      </c>
      <c r="N38" s="149">
        <f t="shared" si="2"/>
        <v>12340000</v>
      </c>
      <c r="O38" s="149">
        <f t="shared" si="0"/>
        <v>12340000</v>
      </c>
      <c r="P38" s="155"/>
      <c r="Q38" s="136"/>
      <c r="R38" s="150">
        <v>676.16</v>
      </c>
      <c r="S38" s="137">
        <v>676.16</v>
      </c>
      <c r="T38" s="32">
        <f t="shared" si="1"/>
        <v>0</v>
      </c>
      <c r="U38" s="48">
        <f t="shared" si="3"/>
        <v>12340000</v>
      </c>
      <c r="V38" s="49"/>
      <c r="W38" s="49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51" ht="15.75" customHeight="1" thickBot="1">
      <c r="A39" s="94" t="s">
        <v>21</v>
      </c>
      <c r="B39" s="18"/>
      <c r="C39" s="18"/>
      <c r="D39" s="95"/>
      <c r="E39" s="96"/>
      <c r="F39" s="97"/>
      <c r="G39" s="97"/>
      <c r="H39" s="97"/>
      <c r="I39" s="133">
        <f>SUM(I23:I38)</f>
        <v>53604000</v>
      </c>
      <c r="J39" s="133">
        <f>SUM(J23:J38)</f>
        <v>0</v>
      </c>
      <c r="K39" s="133">
        <f>SUM(K23:K37)</f>
        <v>12166000</v>
      </c>
      <c r="L39" s="133">
        <f>SUM(L23:L37)</f>
        <v>5214000</v>
      </c>
      <c r="M39" s="133">
        <f>SUM(M23:M38)</f>
        <v>11620000</v>
      </c>
      <c r="N39" s="133">
        <f>SUM(N23:N38)</f>
        <v>41984000</v>
      </c>
      <c r="O39" s="133">
        <f>SUM(O23:O38)</f>
        <v>41984000</v>
      </c>
      <c r="P39" s="133">
        <f aca="true" t="shared" si="4" ref="P39:U39">SUM(P23:P38)</f>
        <v>0</v>
      </c>
      <c r="Q39" s="133">
        <f t="shared" si="4"/>
        <v>0</v>
      </c>
      <c r="R39" s="133">
        <f t="shared" si="4"/>
        <v>337343.87000000005</v>
      </c>
      <c r="S39" s="133">
        <f t="shared" si="4"/>
        <v>337343.87000000005</v>
      </c>
      <c r="T39" s="133">
        <f t="shared" si="4"/>
        <v>0</v>
      </c>
      <c r="U39" s="133">
        <f t="shared" si="4"/>
        <v>41984000</v>
      </c>
      <c r="V39" s="133" t="e">
        <f>#REF!+#REF!+#REF!+#REF!+V23+V24+#REF!+#REF!+#REF!+#REF!+V27+#REF!+V28+V29+V30+V31+V25+V26+V32+V33+V34+V35</f>
        <v>#REF!</v>
      </c>
      <c r="W39" s="133" t="e">
        <f>#REF!+#REF!+#REF!+#REF!+W23+W24+#REF!+#REF!+#REF!+#REF!+W27+#REF!+W28+W29+W30+W31+W25+W26+W32+W33+W34+W35</f>
        <v>#REF!</v>
      </c>
      <c r="X39" s="133" t="e">
        <f>#REF!+#REF!+#REF!+#REF!+X23+X24+#REF!+#REF!+#REF!+#REF!+X27+#REF!+X28+X29+X30+X31+X25+X26+X32+X33+X34+X35</f>
        <v>#REF!</v>
      </c>
      <c r="Y39" s="133" t="e">
        <f>#REF!+#REF!+#REF!+#REF!+Y23+Y24+#REF!+#REF!+#REF!+#REF!+Y27+#REF!+Y28+Y29+Y30+Y31+Y25+Y26+Y32+Y33+Y34+Y35</f>
        <v>#REF!</v>
      </c>
      <c r="Z39" s="133" t="e">
        <f>#REF!+#REF!+#REF!+#REF!+Z23+Z24+#REF!+#REF!+#REF!+#REF!+Z27+#REF!+Z28+Z29+Z30+Z31+Z25+Z26+Z32+Z33+Z34+Z35</f>
        <v>#REF!</v>
      </c>
      <c r="AA39" s="133" t="e">
        <f>#REF!+#REF!+#REF!+#REF!+AA23+AA24+#REF!+#REF!+#REF!+#REF!+AA27+#REF!+AA28+AA29+AA30+AA31+AA25+AA26+AA32+AA33+AA34+AA35</f>
        <v>#REF!</v>
      </c>
      <c r="AB39" s="133" t="e">
        <f>#REF!+#REF!+#REF!+#REF!+AB23+AB24+#REF!+#REF!+#REF!+#REF!+AB27+#REF!+AB28+AB29+AB30+AB31+AB25+AB26+AB32+AB33+AB34+AB35</f>
        <v>#REF!</v>
      </c>
      <c r="AC39" s="133" t="e">
        <f>#REF!+#REF!+#REF!+#REF!+AC23+AC24+#REF!+#REF!+#REF!+#REF!+AC27+#REF!+AC28+AC29+AC30+AC31+AC25+AC26+AC32+AC33+AC34+AC35</f>
        <v>#REF!</v>
      </c>
      <c r="AD39" s="133" t="e">
        <f>#REF!+#REF!+#REF!+#REF!+AD23+AD24+#REF!+#REF!+#REF!+#REF!+AD27+#REF!+AD28+AD29+AD30+AD31+AD25+AD26+AD32+AD33+AD34+AD35</f>
        <v>#REF!</v>
      </c>
      <c r="AE39" s="133" t="e">
        <f>#REF!+#REF!+#REF!+#REF!+AE23+AE24+#REF!+#REF!+#REF!+#REF!+AE27+#REF!+AE28+AE29+AE30+AE31+AE25+AE26+AE32+AE33+AE34+AE35</f>
        <v>#REF!</v>
      </c>
      <c r="AF39" s="133" t="e">
        <f>#REF!+#REF!+#REF!+#REF!+AF23+AF24+#REF!+#REF!+#REF!+#REF!+AF27+#REF!+AF28+AF29+AF30+AF31+AF25+AF26+AF32+AF33+AF34+AF35</f>
        <v>#REF!</v>
      </c>
      <c r="AG39" s="133" t="e">
        <f>#REF!+#REF!+#REF!+#REF!+AG23+AG24+#REF!+#REF!+#REF!+#REF!+AG27+#REF!+AG28+AG29+AG30+AG31+AG25+AG26+AG32+AG33+AG34+AG35</f>
        <v>#REF!</v>
      </c>
      <c r="AH39" s="133" t="e">
        <f>#REF!+#REF!+#REF!+#REF!+AH23+AH24+#REF!+#REF!+#REF!+#REF!+AH27+#REF!+AH28+AH29+AH30+AH31+AH25+AH26+AH32+AH33+AH34+AH35</f>
        <v>#REF!</v>
      </c>
      <c r="AI39" s="133" t="e">
        <f>#REF!+#REF!+#REF!+#REF!+AI23+AI24+#REF!+#REF!+#REF!+#REF!+AI27+#REF!+AI28+AI29+AI30+AI31+AI25+AI26+AI32+AI33+AI34+AI35</f>
        <v>#REF!</v>
      </c>
      <c r="AJ39" s="133" t="e">
        <f>#REF!+#REF!+#REF!+#REF!+AJ23+AJ24+#REF!+#REF!+#REF!+#REF!+AJ27+#REF!+AJ28+AJ29+AJ30+AJ31+AJ25+AJ26+AJ32+AJ33+AJ34+AJ35</f>
        <v>#REF!</v>
      </c>
      <c r="AK39" s="133" t="e">
        <f>#REF!+#REF!+#REF!+#REF!+AK23+AK24+#REF!+#REF!+#REF!+#REF!+AK27+#REF!+AK28+AK29+AK30+AK31+AK25+AK26+AK32+AK33+AK34+AK35</f>
        <v>#REF!</v>
      </c>
      <c r="AL39" s="133" t="e">
        <f>#REF!+#REF!+#REF!+#REF!+AL23+AL24+#REF!+#REF!+#REF!+#REF!+AL27+#REF!+AL28+AL29+AL30+AL31+AL25+AL26+AL32+AL33+AL34+AL35</f>
        <v>#REF!</v>
      </c>
      <c r="AM39" s="133" t="e">
        <f>#REF!+#REF!+#REF!+#REF!+AM23+AM24+#REF!+#REF!+#REF!+#REF!+AM27+#REF!+AM28+AM29+AM30+AM31+AM25+AM26+AM32+AM33+AM34+AM35</f>
        <v>#REF!</v>
      </c>
      <c r="AN39" s="133" t="e">
        <f>#REF!+#REF!+#REF!+#REF!+AN23+AN24+#REF!+#REF!+#REF!+#REF!+AN27+#REF!+AN28+AN29+AN30+AN31+AN25+AN26+AN32+AN33+AN34+AN35</f>
        <v>#REF!</v>
      </c>
      <c r="AO39" s="133" t="e">
        <f>#REF!+#REF!+#REF!+#REF!+AO23+AO24+#REF!+#REF!+#REF!+#REF!+AO27+#REF!+AO28+AO29+AO30+AO31+AO25+AO26+AO32+AO33+AO34+AO35</f>
        <v>#REF!</v>
      </c>
      <c r="AP39" s="133" t="e">
        <f>#REF!+#REF!+#REF!+#REF!+AP23+AP24+#REF!+#REF!+#REF!+#REF!+AP27+#REF!+AP28+AP29+AP30+AP31+AP25+AP26+AP32+AP33+AP34+AP35</f>
        <v>#REF!</v>
      </c>
      <c r="AQ39" s="133" t="e">
        <f>#REF!+#REF!+#REF!+#REF!+AQ23+AQ24+#REF!+#REF!+#REF!+#REF!+AQ27+#REF!+AQ28+AQ29+AQ30+AQ31+AQ25+AQ26+AQ32+AQ33+AQ34+AQ35</f>
        <v>#REF!</v>
      </c>
      <c r="AR39" s="133" t="e">
        <f>#REF!+#REF!+#REF!+#REF!+AR23+AR24+#REF!+#REF!+#REF!+#REF!+AR27+#REF!+AR28+AR29+AR30+AR31+AR25+AR26+AR32+AR33+AR34+AR35</f>
        <v>#REF!</v>
      </c>
      <c r="AS39" s="133" t="e">
        <f>#REF!+#REF!+#REF!+#REF!+AS23+AS24+#REF!+#REF!+#REF!+#REF!+AS27+#REF!+AS28+AS29+AS30+AS31+AS25+AS26+AS32+AS33+AS34+AS35</f>
        <v>#REF!</v>
      </c>
      <c r="AT39" s="133" t="e">
        <f>#REF!+#REF!+#REF!+#REF!+AT23+AT24+#REF!+#REF!+#REF!+#REF!+AT27+#REF!+AT28+AT29+AT30+AT31+AT25+AT26+AT32+AT33+AT34+AT35</f>
        <v>#REF!</v>
      </c>
      <c r="AU39" s="133" t="e">
        <f>#REF!+#REF!+#REF!+#REF!+AU23+AU24+#REF!+#REF!+#REF!+#REF!+AU27+#REF!+AU28+AU29+AU30+AU31+AU25+AU26+AU32+AU33+AU34+AU35</f>
        <v>#REF!</v>
      </c>
      <c r="AV39" s="133" t="e">
        <f>#REF!+#REF!+#REF!+#REF!+AV23+AV24+#REF!+#REF!+#REF!+#REF!+AV27+#REF!+AV28+AV29+AV30+AV31+AV25+AV26+AV32+AV33+AV34+AV35</f>
        <v>#REF!</v>
      </c>
      <c r="AW39" s="133" t="e">
        <f>#REF!+#REF!+#REF!+#REF!+AW23+AW24+#REF!+#REF!+#REF!+#REF!+AW27+#REF!+AW28+AW29+AW30+AW31+AW25+AW26+AW32+AW33+AW34+AW35</f>
        <v>#REF!</v>
      </c>
      <c r="AX39" s="133" t="e">
        <f>#REF!+#REF!+#REF!+#REF!+AX23+AX24+#REF!+#REF!+#REF!+#REF!+AX27+#REF!+AX28+AX29+AX30+AX31+AX25+AX26+AX32+AX33+AX34+AX35</f>
        <v>#REF!</v>
      </c>
      <c r="AY39" s="133" t="e">
        <f>#REF!+#REF!+#REF!+#REF!+AY23+AY24+#REF!+#REF!+#REF!+#REF!+AY27+#REF!+AY28+AY29+AY30+AY31+AY25+AY26+AY32+AY33+AY34+AY35</f>
        <v>#REF!</v>
      </c>
    </row>
    <row r="40" spans="1:22" ht="16.5" customHeight="1" thickBot="1">
      <c r="A40" s="138" t="s">
        <v>19</v>
      </c>
      <c r="B40" s="139" t="s">
        <v>23</v>
      </c>
      <c r="C40" s="139"/>
      <c r="D40" s="139"/>
      <c r="E40" s="139"/>
      <c r="F40" s="139"/>
      <c r="G40" s="139"/>
      <c r="H40" s="20"/>
      <c r="I40" s="10"/>
      <c r="J40" s="10"/>
      <c r="K40" s="10"/>
      <c r="L40" s="10"/>
      <c r="M40" s="10"/>
      <c r="N40" s="10"/>
      <c r="O40" s="98"/>
      <c r="P40" s="10"/>
      <c r="Q40" s="10"/>
      <c r="R40" s="10"/>
      <c r="S40" s="142"/>
      <c r="T40" s="10"/>
      <c r="U40" s="143"/>
      <c r="V40" s="25"/>
    </row>
    <row r="41" spans="1:22" ht="69" customHeight="1">
      <c r="A41" s="148">
        <v>1</v>
      </c>
      <c r="B41" s="42" t="s">
        <v>23</v>
      </c>
      <c r="C41" s="141" t="s">
        <v>63</v>
      </c>
      <c r="D41" s="131" t="s">
        <v>64</v>
      </c>
      <c r="E41" s="17">
        <v>100000000</v>
      </c>
      <c r="F41" s="151" t="s">
        <v>65</v>
      </c>
      <c r="G41" s="154" t="s">
        <v>62</v>
      </c>
      <c r="H41" s="132" t="s">
        <v>28</v>
      </c>
      <c r="I41" s="152">
        <v>10000000</v>
      </c>
      <c r="J41" s="152">
        <v>0</v>
      </c>
      <c r="K41" s="152"/>
      <c r="L41" s="152"/>
      <c r="M41" s="152">
        <v>0</v>
      </c>
      <c r="N41" s="6">
        <f>I41+J41-M41</f>
        <v>10000000</v>
      </c>
      <c r="O41" s="6">
        <f>N41</f>
        <v>10000000</v>
      </c>
      <c r="P41" s="3"/>
      <c r="Q41" s="3"/>
      <c r="R41" s="3">
        <f>80050.6+72303.77+80050.59+77468.32+80050.59+77468.32+80050.6</f>
        <v>547442.79</v>
      </c>
      <c r="S41" s="3">
        <f>80050.6+72303.77+80050.59+77468.32+80050.59+77468.32</f>
        <v>467392.19</v>
      </c>
      <c r="T41" s="6">
        <f>Q41+R41-S41</f>
        <v>80050.60000000003</v>
      </c>
      <c r="U41" s="6">
        <f>N41+Q41+R41-S41</f>
        <v>10080050.6</v>
      </c>
      <c r="V41" s="25"/>
    </row>
    <row r="42" spans="1:22" ht="69" customHeight="1">
      <c r="A42" s="148">
        <v>2</v>
      </c>
      <c r="B42" s="131" t="s">
        <v>23</v>
      </c>
      <c r="C42" s="157" t="s">
        <v>74</v>
      </c>
      <c r="D42" s="131" t="s">
        <v>41</v>
      </c>
      <c r="E42" s="17">
        <v>160000000</v>
      </c>
      <c r="F42" s="151" t="s">
        <v>76</v>
      </c>
      <c r="G42" s="154" t="s">
        <v>75</v>
      </c>
      <c r="H42" s="132" t="s">
        <v>28</v>
      </c>
      <c r="I42" s="152">
        <v>16000000</v>
      </c>
      <c r="J42" s="152">
        <v>0</v>
      </c>
      <c r="K42" s="152"/>
      <c r="L42" s="152"/>
      <c r="M42" s="152">
        <v>0</v>
      </c>
      <c r="N42" s="6">
        <f>I42+J42-M42</f>
        <v>16000000</v>
      </c>
      <c r="O42" s="6">
        <f>N42</f>
        <v>16000000</v>
      </c>
      <c r="P42" s="3"/>
      <c r="Q42" s="3"/>
      <c r="R42" s="3">
        <f>132282.52+119480.99+132282.52+128015.34+132282.52+128015.34+132282.52</f>
        <v>904641.75</v>
      </c>
      <c r="S42" s="3">
        <f>132282.52+119480.99+132282.52+128015.34+132282.52+128015.34+132282.52</f>
        <v>904641.75</v>
      </c>
      <c r="T42" s="6">
        <f>Q42+R42-S42</f>
        <v>0</v>
      </c>
      <c r="U42" s="6">
        <f>N42+Q42+R42-S42</f>
        <v>16000000</v>
      </c>
      <c r="V42" s="25"/>
    </row>
    <row r="43" spans="1:22" ht="69" customHeight="1">
      <c r="A43" s="158">
        <v>3</v>
      </c>
      <c r="B43" s="131" t="s">
        <v>23</v>
      </c>
      <c r="C43" s="157" t="s">
        <v>109</v>
      </c>
      <c r="D43" s="131" t="s">
        <v>110</v>
      </c>
      <c r="E43" s="17">
        <v>15000000</v>
      </c>
      <c r="F43" s="151" t="s">
        <v>111</v>
      </c>
      <c r="G43" s="154" t="s">
        <v>112</v>
      </c>
      <c r="H43" s="132" t="s">
        <v>28</v>
      </c>
      <c r="I43" s="152">
        <v>0</v>
      </c>
      <c r="J43" s="152">
        <v>15000000</v>
      </c>
      <c r="K43" s="152"/>
      <c r="L43" s="152"/>
      <c r="M43" s="152">
        <v>0</v>
      </c>
      <c r="N43" s="6">
        <f>I43+J43-M43</f>
        <v>15000000</v>
      </c>
      <c r="O43" s="6">
        <f>N43</f>
        <v>15000000</v>
      </c>
      <c r="P43" s="3"/>
      <c r="Q43" s="3"/>
      <c r="R43" s="3">
        <v>46109.59</v>
      </c>
      <c r="S43" s="3">
        <v>46109.59</v>
      </c>
      <c r="T43" s="6">
        <f>Q43+R43-S43</f>
        <v>0</v>
      </c>
      <c r="U43" s="6">
        <f>N43+Q43+R43-S43</f>
        <v>15000000</v>
      </c>
      <c r="V43" s="25"/>
    </row>
    <row r="44" spans="1:51" ht="16.5" customHeight="1" thickBot="1">
      <c r="A44" s="94" t="s">
        <v>21</v>
      </c>
      <c r="B44" s="140"/>
      <c r="C44" s="140"/>
      <c r="D44" s="14"/>
      <c r="E44" s="14"/>
      <c r="F44" s="14"/>
      <c r="G44" s="14"/>
      <c r="H44" s="14"/>
      <c r="I44" s="5">
        <f>I41+I42+I43</f>
        <v>26000000</v>
      </c>
      <c r="J44" s="5">
        <f aca="true" t="shared" si="5" ref="J44:U44">J41+J42+J43</f>
        <v>15000000</v>
      </c>
      <c r="K44" s="5">
        <f t="shared" si="5"/>
        <v>0</v>
      </c>
      <c r="L44" s="5">
        <f t="shared" si="5"/>
        <v>0</v>
      </c>
      <c r="M44" s="5">
        <f t="shared" si="5"/>
        <v>0</v>
      </c>
      <c r="N44" s="5">
        <f t="shared" si="5"/>
        <v>41000000</v>
      </c>
      <c r="O44" s="5">
        <f t="shared" si="5"/>
        <v>41000000</v>
      </c>
      <c r="P44" s="5">
        <f t="shared" si="5"/>
        <v>0</v>
      </c>
      <c r="Q44" s="5">
        <f t="shared" si="5"/>
        <v>0</v>
      </c>
      <c r="R44" s="5">
        <f t="shared" si="5"/>
        <v>1498194.1300000001</v>
      </c>
      <c r="S44" s="5">
        <f t="shared" si="5"/>
        <v>1418143.53</v>
      </c>
      <c r="T44" s="5">
        <f t="shared" si="5"/>
        <v>80050.60000000003</v>
      </c>
      <c r="U44" s="5">
        <f t="shared" si="5"/>
        <v>41080050.6</v>
      </c>
      <c r="V44" s="5">
        <f aca="true" t="shared" si="6" ref="V44:AY44">V41+V42</f>
        <v>0</v>
      </c>
      <c r="W44" s="5">
        <f t="shared" si="6"/>
        <v>0</v>
      </c>
      <c r="X44" s="5">
        <f t="shared" si="6"/>
        <v>0</v>
      </c>
      <c r="Y44" s="5">
        <f t="shared" si="6"/>
        <v>0</v>
      </c>
      <c r="Z44" s="5">
        <f t="shared" si="6"/>
        <v>0</v>
      </c>
      <c r="AA44" s="5">
        <f t="shared" si="6"/>
        <v>0</v>
      </c>
      <c r="AB44" s="5">
        <f t="shared" si="6"/>
        <v>0</v>
      </c>
      <c r="AC44" s="5">
        <f t="shared" si="6"/>
        <v>0</v>
      </c>
      <c r="AD44" s="5">
        <f t="shared" si="6"/>
        <v>0</v>
      </c>
      <c r="AE44" s="5">
        <f t="shared" si="6"/>
        <v>0</v>
      </c>
      <c r="AF44" s="5">
        <f t="shared" si="6"/>
        <v>0</v>
      </c>
      <c r="AG44" s="5">
        <f t="shared" si="6"/>
        <v>0</v>
      </c>
      <c r="AH44" s="5">
        <f t="shared" si="6"/>
        <v>0</v>
      </c>
      <c r="AI44" s="5">
        <f t="shared" si="6"/>
        <v>0</v>
      </c>
      <c r="AJ44" s="5">
        <f t="shared" si="6"/>
        <v>0</v>
      </c>
      <c r="AK44" s="5">
        <f t="shared" si="6"/>
        <v>0</v>
      </c>
      <c r="AL44" s="5">
        <f t="shared" si="6"/>
        <v>0</v>
      </c>
      <c r="AM44" s="5">
        <f t="shared" si="6"/>
        <v>0</v>
      </c>
      <c r="AN44" s="5">
        <f t="shared" si="6"/>
        <v>0</v>
      </c>
      <c r="AO44" s="5">
        <f t="shared" si="6"/>
        <v>0</v>
      </c>
      <c r="AP44" s="5">
        <f t="shared" si="6"/>
        <v>0</v>
      </c>
      <c r="AQ44" s="5">
        <f t="shared" si="6"/>
        <v>0</v>
      </c>
      <c r="AR44" s="5">
        <f t="shared" si="6"/>
        <v>0</v>
      </c>
      <c r="AS44" s="5">
        <f t="shared" si="6"/>
        <v>0</v>
      </c>
      <c r="AT44" s="5">
        <f t="shared" si="6"/>
        <v>0</v>
      </c>
      <c r="AU44" s="5">
        <f t="shared" si="6"/>
        <v>0</v>
      </c>
      <c r="AV44" s="5">
        <f t="shared" si="6"/>
        <v>0</v>
      </c>
      <c r="AW44" s="5">
        <f t="shared" si="6"/>
        <v>0</v>
      </c>
      <c r="AX44" s="5">
        <f t="shared" si="6"/>
        <v>0</v>
      </c>
      <c r="AY44" s="5">
        <f t="shared" si="6"/>
        <v>0</v>
      </c>
    </row>
    <row r="45" spans="1:38" s="82" customFormat="1" ht="18" customHeight="1" thickBot="1">
      <c r="A45" s="100" t="s">
        <v>5</v>
      </c>
      <c r="B45" s="101" t="s">
        <v>22</v>
      </c>
      <c r="C45" s="101"/>
      <c r="D45" s="144"/>
      <c r="E45" s="144"/>
      <c r="F45" s="144"/>
      <c r="G45" s="144"/>
      <c r="H45" s="144"/>
      <c r="I45" s="144"/>
      <c r="J45" s="140"/>
      <c r="K45" s="140"/>
      <c r="L45" s="140"/>
      <c r="M45" s="140"/>
      <c r="N45" s="140"/>
      <c r="O45" s="140"/>
      <c r="P45" s="140"/>
      <c r="Q45" s="140"/>
      <c r="R45" s="140"/>
      <c r="S45" s="147"/>
      <c r="T45" s="140"/>
      <c r="U45" s="145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38" s="82" customFormat="1" ht="69.75" customHeight="1" hidden="1">
      <c r="A46" s="100"/>
      <c r="B46" s="102"/>
      <c r="C46" s="103"/>
      <c r="D46" s="103"/>
      <c r="E46" s="104"/>
      <c r="F46" s="103"/>
      <c r="G46" s="153"/>
      <c r="H46" s="46"/>
      <c r="I46" s="61"/>
      <c r="J46" s="61"/>
      <c r="K46" s="156"/>
      <c r="L46" s="156"/>
      <c r="M46" s="33"/>
      <c r="N46" s="61"/>
      <c r="O46" s="32"/>
      <c r="P46" s="21"/>
      <c r="Q46" s="21"/>
      <c r="R46" s="21"/>
      <c r="S46" s="146"/>
      <c r="T46" s="61"/>
      <c r="U46" s="61"/>
      <c r="V46" s="81"/>
      <c r="W46" s="105"/>
      <c r="X46" s="105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38" s="82" customFormat="1" ht="18" customHeight="1" thickBot="1">
      <c r="A47" s="106" t="s">
        <v>21</v>
      </c>
      <c r="B47" s="107"/>
      <c r="C47" s="108"/>
      <c r="D47" s="108"/>
      <c r="E47" s="109"/>
      <c r="F47" s="110"/>
      <c r="G47" s="110"/>
      <c r="H47" s="103"/>
      <c r="I47" s="34">
        <f>I46</f>
        <v>0</v>
      </c>
      <c r="J47" s="34">
        <f>J46</f>
        <v>0</v>
      </c>
      <c r="K47" s="34"/>
      <c r="L47" s="34"/>
      <c r="M47" s="34">
        <f>M46</f>
        <v>0</v>
      </c>
      <c r="N47" s="34">
        <f>N46</f>
        <v>0</v>
      </c>
      <c r="O47" s="34">
        <f>O46</f>
        <v>0</v>
      </c>
      <c r="P47" s="22">
        <v>3</v>
      </c>
      <c r="Q47" s="22">
        <v>0</v>
      </c>
      <c r="R47" s="22">
        <v>0</v>
      </c>
      <c r="S47" s="22">
        <v>0</v>
      </c>
      <c r="T47" s="34">
        <f>N47</f>
        <v>0</v>
      </c>
      <c r="U47" s="34">
        <f>T47</f>
        <v>0</v>
      </c>
      <c r="V47" s="81"/>
      <c r="W47" s="11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</row>
    <row r="48" spans="1:23" ht="16.5" customHeight="1" thickBot="1">
      <c r="A48" s="112"/>
      <c r="B48" s="20" t="s">
        <v>16</v>
      </c>
      <c r="C48" s="19"/>
      <c r="D48" s="19"/>
      <c r="E48" s="19"/>
      <c r="F48" s="99"/>
      <c r="G48" s="99"/>
      <c r="H48" s="113"/>
      <c r="I48" s="23">
        <f aca="true" t="shared" si="7" ref="I48:U48">I39+I44</f>
        <v>79604000</v>
      </c>
      <c r="J48" s="23">
        <f t="shared" si="7"/>
        <v>15000000</v>
      </c>
      <c r="K48" s="23">
        <f t="shared" si="7"/>
        <v>12166000</v>
      </c>
      <c r="L48" s="23">
        <f t="shared" si="7"/>
        <v>5214000</v>
      </c>
      <c r="M48" s="23">
        <f t="shared" si="7"/>
        <v>11620000</v>
      </c>
      <c r="N48" s="23">
        <f t="shared" si="7"/>
        <v>82984000</v>
      </c>
      <c r="O48" s="23">
        <f t="shared" si="7"/>
        <v>82984000</v>
      </c>
      <c r="P48" s="23">
        <f t="shared" si="7"/>
        <v>0</v>
      </c>
      <c r="Q48" s="23">
        <f t="shared" si="7"/>
        <v>0</v>
      </c>
      <c r="R48" s="23">
        <f t="shared" si="7"/>
        <v>1835538.0000000002</v>
      </c>
      <c r="S48" s="23">
        <f t="shared" si="7"/>
        <v>1755487.4000000001</v>
      </c>
      <c r="T48" s="23">
        <f t="shared" si="7"/>
        <v>80050.60000000003</v>
      </c>
      <c r="U48" s="23">
        <f t="shared" si="7"/>
        <v>83064050.6</v>
      </c>
      <c r="V48" s="25"/>
      <c r="W48" s="114"/>
    </row>
    <row r="49" spans="1:22" ht="16.5" customHeight="1">
      <c r="A49" s="25"/>
      <c r="B49" s="81"/>
      <c r="C49" s="10"/>
      <c r="D49" s="10"/>
      <c r="E49" s="10"/>
      <c r="F49" s="10"/>
      <c r="G49" s="10"/>
      <c r="H49" s="10"/>
      <c r="I49" s="24"/>
      <c r="J49" s="24"/>
      <c r="K49" s="24"/>
      <c r="L49" s="24"/>
      <c r="M49" s="24"/>
      <c r="N49" s="24"/>
      <c r="O49" s="24"/>
      <c r="P49" s="40"/>
      <c r="Q49" s="24"/>
      <c r="R49" s="24"/>
      <c r="S49" s="24"/>
      <c r="T49" s="24"/>
      <c r="U49" s="24"/>
      <c r="V49" s="25"/>
    </row>
    <row r="50" spans="1:22" ht="16.5" customHeight="1">
      <c r="A50" s="25"/>
      <c r="B50" s="10" t="s">
        <v>35</v>
      </c>
      <c r="C50" s="10"/>
      <c r="D50" s="10"/>
      <c r="E50" s="10"/>
      <c r="F50" s="10"/>
      <c r="G50" s="10"/>
      <c r="H50" s="10"/>
      <c r="I50" s="24" t="s">
        <v>39</v>
      </c>
      <c r="J50" s="24"/>
      <c r="K50" s="24"/>
      <c r="L50" s="24"/>
      <c r="M50" s="24"/>
      <c r="N50" s="24"/>
      <c r="O50" s="24"/>
      <c r="P50" s="40"/>
      <c r="Q50" s="24"/>
      <c r="R50" s="24"/>
      <c r="S50" s="40"/>
      <c r="T50" s="24"/>
      <c r="U50" s="24"/>
      <c r="V50" s="25"/>
    </row>
    <row r="51" spans="1:22" ht="16.5" customHeight="1">
      <c r="A51" s="2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24"/>
      <c r="T51" s="10"/>
      <c r="U51" s="10"/>
      <c r="V51" s="25"/>
    </row>
    <row r="52" spans="1:22" ht="15.75" customHeight="1">
      <c r="A52" s="25"/>
      <c r="B52" s="10" t="s">
        <v>27</v>
      </c>
      <c r="C52" s="10"/>
      <c r="D52" s="115"/>
      <c r="E52" s="116"/>
      <c r="F52" s="116"/>
      <c r="G52" s="116"/>
      <c r="H52" s="116"/>
      <c r="I52" s="35" t="s">
        <v>43</v>
      </c>
      <c r="J52" s="35"/>
      <c r="K52" s="35"/>
      <c r="L52" s="35"/>
      <c r="M52" s="35"/>
      <c r="N52" s="35"/>
      <c r="O52" s="35"/>
      <c r="P52" s="10"/>
      <c r="Q52" s="10"/>
      <c r="R52" s="10"/>
      <c r="S52" s="10"/>
      <c r="T52" s="10"/>
      <c r="U52" s="10"/>
      <c r="V52" s="25"/>
    </row>
    <row r="53" spans="1:22" ht="15.75" customHeight="1">
      <c r="A53" s="25"/>
      <c r="B53" s="10" t="s">
        <v>26</v>
      </c>
      <c r="C53" s="10"/>
      <c r="D53" s="115"/>
      <c r="E53" s="116"/>
      <c r="F53" s="116"/>
      <c r="G53" s="116"/>
      <c r="H53" s="116"/>
      <c r="I53" s="35"/>
      <c r="J53" s="35"/>
      <c r="K53" s="35"/>
      <c r="L53" s="35"/>
      <c r="M53" s="35"/>
      <c r="N53" s="117"/>
      <c r="O53" s="117"/>
      <c r="P53" s="10"/>
      <c r="Q53" s="10"/>
      <c r="R53" s="10"/>
      <c r="S53" s="10"/>
      <c r="T53" s="10"/>
      <c r="U53" s="10"/>
      <c r="V53" s="25"/>
    </row>
    <row r="54" spans="1:22" ht="12.75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0.75" customHeight="1">
      <c r="A55" s="25"/>
      <c r="B55" s="10"/>
      <c r="C55" s="10"/>
      <c r="D55" s="39"/>
      <c r="E55" s="10"/>
      <c r="F55" s="10"/>
      <c r="G55" s="10"/>
      <c r="H55" s="10"/>
      <c r="I55" s="118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14.25" customHeight="1" hidden="1">
      <c r="A56" s="25"/>
      <c r="B56" s="10"/>
      <c r="C56" s="10"/>
      <c r="D56" s="39"/>
      <c r="E56" s="10"/>
      <c r="F56" s="10"/>
      <c r="G56" s="10"/>
      <c r="H56" s="10"/>
      <c r="I56" s="36"/>
      <c r="J56" s="36"/>
      <c r="K56" s="36"/>
      <c r="L56" s="36"/>
      <c r="M56" s="36"/>
      <c r="N56" s="36"/>
      <c r="O56" s="36"/>
      <c r="P56" s="10"/>
      <c r="Q56" s="10"/>
      <c r="R56" s="10"/>
      <c r="S56" s="10"/>
      <c r="T56" s="10"/>
      <c r="U56" s="10"/>
      <c r="V56" s="25"/>
    </row>
    <row r="57" spans="1:22" ht="13.5" customHeight="1" hidden="1">
      <c r="A57" s="25"/>
      <c r="B57" s="10"/>
      <c r="C57" s="10"/>
      <c r="D57" s="10"/>
      <c r="E57" s="10"/>
      <c r="F57" s="10"/>
      <c r="G57" s="10"/>
      <c r="H57" s="10"/>
      <c r="I57" s="37"/>
      <c r="J57" s="37"/>
      <c r="K57" s="37"/>
      <c r="L57" s="37"/>
      <c r="M57" s="37"/>
      <c r="N57" s="37"/>
      <c r="O57" s="37"/>
      <c r="P57" s="10"/>
      <c r="Q57" s="10"/>
      <c r="R57" s="10"/>
      <c r="S57" s="10"/>
      <c r="T57" s="10"/>
      <c r="U57" s="10"/>
      <c r="V57" s="25"/>
    </row>
    <row r="58" spans="2:21" s="25" customFormat="1" ht="12.75" customHeight="1">
      <c r="B58" s="10" t="s">
        <v>14</v>
      </c>
      <c r="C58" s="39"/>
      <c r="D58" s="119"/>
      <c r="E58" s="120"/>
      <c r="F58" s="10"/>
      <c r="G58" s="10"/>
      <c r="H58" s="10"/>
      <c r="I58" s="37"/>
      <c r="J58" s="37"/>
      <c r="K58" s="37"/>
      <c r="L58" s="37"/>
      <c r="M58" s="37"/>
      <c r="N58" s="37"/>
      <c r="O58" s="37"/>
      <c r="P58" s="10"/>
      <c r="Q58" s="10"/>
      <c r="R58" s="10"/>
      <c r="S58" s="10"/>
      <c r="T58" s="10"/>
      <c r="U58" s="10"/>
    </row>
    <row r="59" spans="1:21" s="25" customFormat="1" ht="9.75" customHeight="1">
      <c r="A59" s="121"/>
      <c r="B59" s="122" t="s">
        <v>20</v>
      </c>
      <c r="C59" s="10"/>
      <c r="D59" s="10"/>
      <c r="E59" s="123"/>
      <c r="F59" s="123"/>
      <c r="G59" s="123"/>
      <c r="H59" s="124"/>
      <c r="I59" s="38"/>
      <c r="J59" s="38"/>
      <c r="K59" s="38"/>
      <c r="L59" s="38"/>
      <c r="M59" s="38"/>
      <c r="N59" s="38"/>
      <c r="O59" s="38"/>
      <c r="P59" s="10"/>
      <c r="Q59" s="10"/>
      <c r="R59" s="10"/>
      <c r="S59" s="10"/>
      <c r="T59" s="10"/>
      <c r="U59" s="10"/>
    </row>
    <row r="60" spans="2:21" s="25" customFormat="1" ht="12.75">
      <c r="B60" s="39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38"/>
      <c r="G63" s="38"/>
      <c r="H63" s="38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125"/>
      <c r="G64" s="125"/>
      <c r="H64" s="125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1:21" s="25" customFormat="1" ht="17.25">
      <c r="A65" s="121"/>
      <c r="B65" s="121"/>
      <c r="C65" s="126"/>
      <c r="D65" s="126"/>
      <c r="E65" s="126"/>
      <c r="F65" s="126"/>
      <c r="G65" s="126"/>
      <c r="H65" s="126"/>
      <c r="I65" s="39"/>
      <c r="J65" s="39"/>
      <c r="K65" s="39"/>
      <c r="L65" s="39"/>
      <c r="M65" s="39"/>
      <c r="N65" s="39"/>
      <c r="O65" s="39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38"/>
      <c r="F68" s="38"/>
      <c r="G68" s="38"/>
      <c r="H68" s="3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1:21" s="25" customFormat="1" ht="17.25">
      <c r="A69" s="127"/>
      <c r="B69" s="10"/>
      <c r="C69" s="10"/>
      <c r="D69" s="10"/>
      <c r="E69" s="124"/>
      <c r="F69" s="124"/>
      <c r="G69" s="124"/>
      <c r="H69" s="124"/>
      <c r="I69" s="38"/>
      <c r="J69" s="38"/>
      <c r="K69" s="38"/>
      <c r="L69" s="38"/>
      <c r="M69" s="38"/>
      <c r="N69" s="38"/>
      <c r="O69" s="38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15"/>
      <c r="E72" s="116"/>
      <c r="F72" s="128"/>
      <c r="G72" s="128"/>
      <c r="H72" s="128"/>
      <c r="I72" s="35"/>
      <c r="J72" s="35"/>
      <c r="K72" s="35"/>
      <c r="L72" s="35"/>
      <c r="M72" s="35"/>
      <c r="N72" s="35"/>
      <c r="O72" s="35"/>
      <c r="P72" s="10"/>
      <c r="Q72" s="10"/>
      <c r="R72" s="10"/>
      <c r="S72" s="10"/>
      <c r="T72" s="10"/>
      <c r="U72" s="10"/>
    </row>
    <row r="73" spans="1:21" s="25" customFormat="1" ht="17.25">
      <c r="A73" s="121"/>
      <c r="B73" s="121"/>
      <c r="C73" s="121"/>
      <c r="D73" s="121"/>
      <c r="E73" s="121"/>
      <c r="F73" s="121"/>
      <c r="G73" s="121"/>
      <c r="H73" s="129"/>
      <c r="I73" s="13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115"/>
      <c r="E75" s="116"/>
      <c r="F75" s="116"/>
      <c r="G75" s="116"/>
      <c r="H75" s="116"/>
      <c r="I75" s="35"/>
      <c r="J75" s="35"/>
      <c r="K75" s="35"/>
      <c r="L75" s="35"/>
      <c r="M75" s="35"/>
      <c r="N75" s="117"/>
      <c r="O75" s="117"/>
      <c r="P75" s="10"/>
      <c r="Q75" s="10"/>
      <c r="R75" s="10"/>
      <c r="S75" s="10"/>
      <c r="T75" s="10"/>
      <c r="U75" s="10"/>
    </row>
    <row r="76" spans="2:21" s="25" customFormat="1" ht="12.75">
      <c r="B76" s="10"/>
      <c r="C76" s="10"/>
      <c r="D76" s="39"/>
      <c r="E76" s="10"/>
      <c r="F76" s="10"/>
      <c r="G76" s="10"/>
      <c r="H76" s="10"/>
      <c r="I76" s="36"/>
      <c r="J76" s="36"/>
      <c r="K76" s="36"/>
      <c r="L76" s="36"/>
      <c r="M76" s="36"/>
      <c r="N76" s="36"/>
      <c r="O76" s="36"/>
      <c r="P76" s="10"/>
      <c r="Q76" s="10"/>
      <c r="R76" s="10"/>
      <c r="T76" s="10"/>
      <c r="U76" s="10"/>
    </row>
    <row r="77" s="25" customFormat="1" ht="12.75">
      <c r="S77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77"/>
  <sheetViews>
    <sheetView tabSelected="1" zoomScalePageLayoutView="0" workbookViewId="0" topLeftCell="G37">
      <selection activeCell="R44" sqref="R44"/>
    </sheetView>
  </sheetViews>
  <sheetFormatPr defaultColWidth="9.125" defaultRowHeight="12.75"/>
  <cols>
    <col min="1" max="1" width="3.625" style="8" customWidth="1"/>
    <col min="2" max="2" width="7.50390625" style="8" customWidth="1"/>
    <col min="3" max="3" width="15.50390625" style="8" customWidth="1"/>
    <col min="4" max="4" width="7.875" style="8" customWidth="1"/>
    <col min="5" max="5" width="12.125" style="8" customWidth="1"/>
    <col min="6" max="6" width="10.875" style="8" customWidth="1"/>
    <col min="7" max="7" width="9.125" style="8" customWidth="1"/>
    <col min="8" max="8" width="8.375" style="8" customWidth="1"/>
    <col min="9" max="9" width="16.50390625" style="8" customWidth="1"/>
    <col min="10" max="10" width="15.625" style="8" customWidth="1"/>
    <col min="11" max="12" width="13.125" style="8" hidden="1" customWidth="1"/>
    <col min="13" max="13" width="14.50390625" style="8" customWidth="1"/>
    <col min="14" max="14" width="17.50390625" style="8" customWidth="1"/>
    <col min="15" max="15" width="18.00390625" style="8" customWidth="1"/>
    <col min="16" max="16" width="6.50390625" style="8" customWidth="1"/>
    <col min="17" max="17" width="14.00390625" style="8" customWidth="1"/>
    <col min="18" max="18" width="13.50390625" style="8" customWidth="1"/>
    <col min="19" max="20" width="14.125" style="8" customWidth="1"/>
    <col min="21" max="21" width="17.00390625" style="8" customWidth="1"/>
    <col min="22" max="22" width="2.50390625" style="8" hidden="1" customWidth="1"/>
    <col min="23" max="23" width="15.125" style="8" hidden="1" customWidth="1"/>
    <col min="24" max="24" width="12.875" style="8" hidden="1" customWidth="1"/>
    <col min="25" max="25" width="11.625" style="8" hidden="1" customWidth="1"/>
    <col min="26" max="51" width="0" style="8" hidden="1" customWidth="1"/>
    <col min="52" max="16384" width="9.125" style="8" customWidth="1"/>
  </cols>
  <sheetData>
    <row r="2" ht="12.75" hidden="1"/>
    <row r="3" ht="22.5">
      <c r="C3" s="62" t="s">
        <v>12</v>
      </c>
    </row>
    <row r="4" ht="12.75" hidden="1"/>
    <row r="5" spans="3:16" ht="22.5">
      <c r="C5" s="159" t="s">
        <v>26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spans="1:21" ht="6.75" customHeight="1">
      <c r="A6" s="25"/>
      <c r="B6" s="10"/>
      <c r="C6" s="10"/>
      <c r="D6" s="63"/>
      <c r="E6" s="26"/>
      <c r="F6" s="26"/>
      <c r="G6" s="26"/>
      <c r="H6" s="26"/>
      <c r="I6" s="26"/>
      <c r="J6" s="26"/>
      <c r="K6" s="26"/>
      <c r="L6" s="26"/>
      <c r="M6" s="26"/>
      <c r="N6" s="9"/>
      <c r="O6" s="9"/>
      <c r="P6" s="9"/>
      <c r="Q6" s="9"/>
      <c r="R6" s="9"/>
      <c r="S6" s="9"/>
      <c r="T6" s="9"/>
      <c r="U6" s="10"/>
    </row>
    <row r="7" spans="1:22" ht="17.25" customHeight="1" thickBot="1">
      <c r="A7" s="25"/>
      <c r="B7" s="10"/>
      <c r="C7" s="10"/>
      <c r="D7" s="63" t="s">
        <v>113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 t="s">
        <v>13</v>
      </c>
      <c r="V7" s="25"/>
    </row>
    <row r="8" spans="1:21" ht="144" customHeight="1" thickBot="1">
      <c r="A8" s="64" t="s">
        <v>0</v>
      </c>
      <c r="B8" s="65" t="s">
        <v>17</v>
      </c>
      <c r="C8" s="65" t="s">
        <v>1</v>
      </c>
      <c r="D8" s="11" t="s">
        <v>6</v>
      </c>
      <c r="E8" s="11" t="s">
        <v>2</v>
      </c>
      <c r="F8" s="11" t="s">
        <v>3</v>
      </c>
      <c r="G8" s="11" t="s">
        <v>56</v>
      </c>
      <c r="H8" s="11" t="s">
        <v>4</v>
      </c>
      <c r="I8" s="11" t="s">
        <v>81</v>
      </c>
      <c r="J8" s="11" t="s">
        <v>114</v>
      </c>
      <c r="K8" s="11" t="s">
        <v>70</v>
      </c>
      <c r="L8" s="11" t="s">
        <v>71</v>
      </c>
      <c r="M8" s="11" t="s">
        <v>115</v>
      </c>
      <c r="N8" s="11" t="s">
        <v>116</v>
      </c>
      <c r="O8" s="11" t="s">
        <v>18</v>
      </c>
      <c r="P8" s="66" t="s">
        <v>10</v>
      </c>
      <c r="Q8" s="11" t="s">
        <v>29</v>
      </c>
      <c r="R8" s="11" t="s">
        <v>31</v>
      </c>
      <c r="S8" s="11" t="s">
        <v>30</v>
      </c>
      <c r="T8" s="53" t="s">
        <v>32</v>
      </c>
      <c r="U8" s="53" t="s">
        <v>33</v>
      </c>
    </row>
    <row r="9" spans="1:21" ht="2.25" customHeight="1" thickBot="1">
      <c r="A9" s="67">
        <v>1</v>
      </c>
      <c r="B9" s="68">
        <v>2</v>
      </c>
      <c r="C9" s="69">
        <v>3</v>
      </c>
      <c r="D9" s="12">
        <v>4</v>
      </c>
      <c r="E9" s="12">
        <v>5</v>
      </c>
      <c r="F9" s="12">
        <v>6</v>
      </c>
      <c r="G9" s="12"/>
      <c r="H9" s="12">
        <v>7</v>
      </c>
      <c r="I9" s="12">
        <v>8</v>
      </c>
      <c r="J9" s="12">
        <v>9</v>
      </c>
      <c r="K9" s="12"/>
      <c r="L9" s="12"/>
      <c r="M9" s="12">
        <v>10</v>
      </c>
      <c r="N9" s="12">
        <v>11</v>
      </c>
      <c r="O9" s="12">
        <v>12</v>
      </c>
      <c r="P9" s="70">
        <v>13</v>
      </c>
      <c r="Q9" s="12">
        <v>14</v>
      </c>
      <c r="R9" s="12">
        <v>15</v>
      </c>
      <c r="S9" s="12">
        <v>16</v>
      </c>
      <c r="T9" s="54">
        <v>17</v>
      </c>
      <c r="U9" s="54">
        <v>18</v>
      </c>
    </row>
    <row r="10" spans="1:22" ht="17.25" customHeight="1" hidden="1">
      <c r="A10" s="71" t="s">
        <v>7</v>
      </c>
      <c r="B10" s="161" t="s">
        <v>25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3"/>
      <c r="V10" s="25"/>
    </row>
    <row r="11" spans="1:22" ht="16.5" customHeight="1" hidden="1">
      <c r="A11" s="72"/>
      <c r="B11" s="13"/>
      <c r="C11" s="13"/>
      <c r="D11" s="73"/>
      <c r="E11" s="74"/>
      <c r="F11" s="74"/>
      <c r="G11" s="74"/>
      <c r="H11" s="74"/>
      <c r="I11" s="27"/>
      <c r="J11" s="27"/>
      <c r="K11" s="27"/>
      <c r="L11" s="27"/>
      <c r="M11" s="27"/>
      <c r="N11" s="27"/>
      <c r="O11" s="27"/>
      <c r="P11" s="13"/>
      <c r="Q11" s="13"/>
      <c r="R11" s="13"/>
      <c r="S11" s="13"/>
      <c r="T11" s="55"/>
      <c r="U11" s="75"/>
      <c r="V11" s="25"/>
    </row>
    <row r="12" spans="1:22" ht="16.5" customHeight="1" hidden="1">
      <c r="A12" s="76"/>
      <c r="B12" s="1"/>
      <c r="C12" s="1"/>
      <c r="D12" s="51"/>
      <c r="E12" s="77"/>
      <c r="F12" s="77"/>
      <c r="G12" s="77"/>
      <c r="H12" s="77"/>
      <c r="I12" s="28"/>
      <c r="J12" s="28"/>
      <c r="K12" s="28"/>
      <c r="L12" s="28"/>
      <c r="M12" s="28"/>
      <c r="N12" s="28"/>
      <c r="O12" s="28"/>
      <c r="P12" s="1"/>
      <c r="Q12" s="1"/>
      <c r="R12" s="1"/>
      <c r="S12" s="1"/>
      <c r="T12" s="56"/>
      <c r="U12" s="78"/>
      <c r="V12" s="25"/>
    </row>
    <row r="13" spans="1:22" ht="12.75" customHeight="1" hidden="1">
      <c r="A13" s="76"/>
      <c r="B13" s="1"/>
      <c r="C13" s="1"/>
      <c r="D13" s="51"/>
      <c r="E13" s="77"/>
      <c r="F13" s="46"/>
      <c r="G13" s="46"/>
      <c r="H13" s="46"/>
      <c r="I13" s="28"/>
      <c r="J13" s="28"/>
      <c r="K13" s="28"/>
      <c r="L13" s="28"/>
      <c r="M13" s="28"/>
      <c r="N13" s="28"/>
      <c r="O13" s="28"/>
      <c r="P13" s="1"/>
      <c r="Q13" s="1"/>
      <c r="R13" s="1"/>
      <c r="S13" s="1"/>
      <c r="T13" s="56"/>
      <c r="U13" s="78"/>
      <c r="V13" s="25"/>
    </row>
    <row r="14" spans="1:22" ht="12.75" customHeight="1" hidden="1">
      <c r="A14" s="76"/>
      <c r="B14" s="1"/>
      <c r="C14" s="1"/>
      <c r="D14" s="51"/>
      <c r="E14" s="77"/>
      <c r="F14" s="46"/>
      <c r="G14" s="46"/>
      <c r="H14" s="46"/>
      <c r="I14" s="28"/>
      <c r="J14" s="28"/>
      <c r="K14" s="28"/>
      <c r="L14" s="28"/>
      <c r="M14" s="28"/>
      <c r="N14" s="28"/>
      <c r="O14" s="28"/>
      <c r="P14" s="1"/>
      <c r="Q14" s="1"/>
      <c r="R14" s="1"/>
      <c r="S14" s="1"/>
      <c r="T14" s="56"/>
      <c r="U14" s="78"/>
      <c r="V14" s="25"/>
    </row>
    <row r="15" spans="1:22" ht="12.75" customHeight="1" hidden="1">
      <c r="A15" s="76"/>
      <c r="B15" s="1"/>
      <c r="C15" s="1"/>
      <c r="D15" s="51"/>
      <c r="E15" s="77"/>
      <c r="F15" s="46"/>
      <c r="G15" s="46"/>
      <c r="H15" s="46"/>
      <c r="I15" s="28"/>
      <c r="J15" s="28"/>
      <c r="K15" s="28"/>
      <c r="L15" s="28"/>
      <c r="M15" s="28"/>
      <c r="N15" s="28"/>
      <c r="O15" s="28"/>
      <c r="P15" s="1"/>
      <c r="Q15" s="1"/>
      <c r="R15" s="1"/>
      <c r="S15" s="1"/>
      <c r="T15" s="56"/>
      <c r="U15" s="78"/>
      <c r="V15" s="25"/>
    </row>
    <row r="16" spans="1:22" s="82" customFormat="1" ht="20.25" customHeight="1" hidden="1">
      <c r="A16" s="79" t="s">
        <v>8</v>
      </c>
      <c r="B16" s="79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57"/>
      <c r="U16" s="80"/>
      <c r="V16" s="81"/>
    </row>
    <row r="17" spans="1:22" ht="18.75" customHeight="1" hidden="1">
      <c r="A17" s="76"/>
      <c r="B17" s="1" t="s">
        <v>9</v>
      </c>
      <c r="C17" s="1"/>
      <c r="D17" s="51"/>
      <c r="E17" s="77"/>
      <c r="F17" s="77"/>
      <c r="G17" s="77"/>
      <c r="H17" s="77"/>
      <c r="I17" s="28"/>
      <c r="J17" s="28"/>
      <c r="K17" s="28"/>
      <c r="L17" s="28"/>
      <c r="M17" s="28"/>
      <c r="N17" s="28"/>
      <c r="O17" s="28"/>
      <c r="P17" s="1"/>
      <c r="Q17" s="1"/>
      <c r="R17" s="1"/>
      <c r="S17" s="1"/>
      <c r="T17" s="56"/>
      <c r="U17" s="78"/>
      <c r="V17" s="25"/>
    </row>
    <row r="18" spans="1:22" ht="15.75" customHeight="1" hidden="1">
      <c r="A18" s="76"/>
      <c r="B18" s="1"/>
      <c r="C18" s="1"/>
      <c r="D18" s="51"/>
      <c r="E18" s="77"/>
      <c r="F18" s="77"/>
      <c r="G18" s="77"/>
      <c r="H18" s="77"/>
      <c r="I18" s="28"/>
      <c r="J18" s="28"/>
      <c r="K18" s="28"/>
      <c r="L18" s="28"/>
      <c r="M18" s="28"/>
      <c r="N18" s="28"/>
      <c r="O18" s="28"/>
      <c r="P18" s="1"/>
      <c r="Q18" s="1"/>
      <c r="R18" s="1"/>
      <c r="S18" s="1"/>
      <c r="T18" s="56"/>
      <c r="U18" s="78"/>
      <c r="V18" s="25"/>
    </row>
    <row r="19" spans="1:22" ht="16.5" customHeight="1" hidden="1">
      <c r="A19" s="76"/>
      <c r="B19" s="1"/>
      <c r="C19" s="1"/>
      <c r="D19" s="51"/>
      <c r="E19" s="77"/>
      <c r="F19" s="77"/>
      <c r="G19" s="77"/>
      <c r="H19" s="77"/>
      <c r="I19" s="28"/>
      <c r="J19" s="28"/>
      <c r="K19" s="28"/>
      <c r="L19" s="28"/>
      <c r="M19" s="28"/>
      <c r="N19" s="28"/>
      <c r="O19" s="28"/>
      <c r="P19" s="1"/>
      <c r="Q19" s="1"/>
      <c r="R19" s="1"/>
      <c r="S19" s="1"/>
      <c r="T19" s="56"/>
      <c r="U19" s="78"/>
      <c r="V19" s="25"/>
    </row>
    <row r="20" spans="1:22" ht="10.5" customHeight="1">
      <c r="A20" s="83"/>
      <c r="B20" s="3"/>
      <c r="C20" s="3"/>
      <c r="D20" s="43"/>
      <c r="E20" s="84"/>
      <c r="F20" s="84"/>
      <c r="G20" s="84"/>
      <c r="H20" s="84"/>
      <c r="I20" s="29"/>
      <c r="J20" s="29"/>
      <c r="K20" s="29"/>
      <c r="L20" s="29"/>
      <c r="M20" s="29"/>
      <c r="N20" s="29"/>
      <c r="O20" s="29"/>
      <c r="P20" s="3"/>
      <c r="Q20" s="3"/>
      <c r="R20" s="3"/>
      <c r="S20" s="3"/>
      <c r="T20" s="58"/>
      <c r="U20" s="85"/>
      <c r="V20" s="25"/>
    </row>
    <row r="21" spans="1:22" ht="16.5" customHeight="1" thickBot="1">
      <c r="A21" s="86" t="s">
        <v>21</v>
      </c>
      <c r="B21" s="15"/>
      <c r="C21" s="15"/>
      <c r="D21" s="87"/>
      <c r="E21" s="12"/>
      <c r="F21" s="12"/>
      <c r="G21" s="12"/>
      <c r="H21" s="12"/>
      <c r="I21" s="30"/>
      <c r="J21" s="30"/>
      <c r="K21" s="30"/>
      <c r="L21" s="30"/>
      <c r="M21" s="30"/>
      <c r="N21" s="30"/>
      <c r="O21" s="30"/>
      <c r="P21" s="15"/>
      <c r="Q21" s="15"/>
      <c r="R21" s="15"/>
      <c r="S21" s="15"/>
      <c r="T21" s="59"/>
      <c r="U21" s="88"/>
      <c r="V21" s="25"/>
    </row>
    <row r="22" spans="1:21" s="91" customFormat="1" ht="26.25" customHeight="1" thickBot="1">
      <c r="A22" s="71" t="s">
        <v>8</v>
      </c>
      <c r="B22" s="89" t="s">
        <v>24</v>
      </c>
      <c r="C22" s="89"/>
      <c r="D22" s="8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89"/>
      <c r="Q22" s="16"/>
      <c r="R22" s="16"/>
      <c r="S22" s="16"/>
      <c r="T22" s="60"/>
      <c r="U22" s="90"/>
    </row>
    <row r="23" spans="1:38" ht="71.25" customHeight="1" hidden="1">
      <c r="A23" s="50">
        <v>1</v>
      </c>
      <c r="B23" s="42" t="s">
        <v>15</v>
      </c>
      <c r="C23" s="51" t="s">
        <v>37</v>
      </c>
      <c r="D23" s="51" t="s">
        <v>34</v>
      </c>
      <c r="E23" s="44">
        <v>11000000</v>
      </c>
      <c r="F23" s="45" t="s">
        <v>52</v>
      </c>
      <c r="G23" s="45"/>
      <c r="H23" s="46" t="s">
        <v>28</v>
      </c>
      <c r="I23" s="32"/>
      <c r="J23" s="32"/>
      <c r="K23" s="32"/>
      <c r="L23" s="32"/>
      <c r="M23" s="32"/>
      <c r="N23" s="52">
        <f>I23+J23-M23</f>
        <v>0</v>
      </c>
      <c r="O23" s="47">
        <f aca="true" t="shared" si="0" ref="O23:O38">N23</f>
        <v>0</v>
      </c>
      <c r="P23" s="7"/>
      <c r="Q23" s="7"/>
      <c r="R23" s="5"/>
      <c r="S23" s="7"/>
      <c r="T23" s="6">
        <f aca="true" t="shared" si="1" ref="T23:T38">Q23+R23-S23</f>
        <v>0</v>
      </c>
      <c r="U23" s="48">
        <f>O23+T23</f>
        <v>0</v>
      </c>
      <c r="V23" s="49"/>
      <c r="W23" s="49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ht="68.25" customHeight="1" hidden="1">
      <c r="A24" s="50"/>
      <c r="B24" s="42"/>
      <c r="C24" s="51"/>
      <c r="D24" s="51"/>
      <c r="E24" s="44"/>
      <c r="F24" s="45"/>
      <c r="G24" s="45"/>
      <c r="H24" s="46"/>
      <c r="I24" s="32"/>
      <c r="J24" s="32"/>
      <c r="K24" s="32"/>
      <c r="L24" s="32"/>
      <c r="M24" s="32"/>
      <c r="N24" s="52"/>
      <c r="O24" s="47"/>
      <c r="P24" s="7"/>
      <c r="Q24" s="7"/>
      <c r="R24" s="5"/>
      <c r="S24" s="5"/>
      <c r="T24" s="6"/>
      <c r="U24" s="48"/>
      <c r="V24" s="49"/>
      <c r="W24" s="49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38" ht="66.75" customHeight="1" hidden="1">
      <c r="A25" s="50"/>
      <c r="B25" s="42"/>
      <c r="C25" s="51"/>
      <c r="D25" s="51"/>
      <c r="E25" s="44"/>
      <c r="F25" s="45"/>
      <c r="G25" s="45"/>
      <c r="H25" s="46"/>
      <c r="I25" s="32"/>
      <c r="J25" s="32"/>
      <c r="K25" s="32"/>
      <c r="L25" s="32"/>
      <c r="M25" s="32"/>
      <c r="N25" s="52"/>
      <c r="O25" s="47"/>
      <c r="P25" s="7"/>
      <c r="Q25" s="7"/>
      <c r="R25" s="5"/>
      <c r="S25" s="5"/>
      <c r="T25" s="6"/>
      <c r="U25" s="48"/>
      <c r="V25" s="49"/>
      <c r="W25" s="49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66.75" customHeight="1" hidden="1">
      <c r="A26" s="50"/>
      <c r="B26" s="42"/>
      <c r="C26" s="51"/>
      <c r="D26" s="51"/>
      <c r="E26" s="44"/>
      <c r="F26" s="45"/>
      <c r="G26" s="45"/>
      <c r="H26" s="46"/>
      <c r="I26" s="32"/>
      <c r="J26" s="32"/>
      <c r="K26" s="32"/>
      <c r="L26" s="32"/>
      <c r="M26" s="32"/>
      <c r="N26" s="52"/>
      <c r="O26" s="47"/>
      <c r="P26" s="7"/>
      <c r="Q26" s="7"/>
      <c r="R26" s="5"/>
      <c r="S26" s="5"/>
      <c r="T26" s="6"/>
      <c r="U26" s="48"/>
      <c r="V26" s="49"/>
      <c r="W26" s="49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66.75" customHeight="1" hidden="1">
      <c r="A27" s="41"/>
      <c r="B27" s="131"/>
      <c r="C27" s="51"/>
      <c r="D27" s="43"/>
      <c r="E27" s="44"/>
      <c r="F27" s="45"/>
      <c r="G27" s="92"/>
      <c r="H27" s="132"/>
      <c r="I27" s="32"/>
      <c r="J27" s="44"/>
      <c r="K27" s="44"/>
      <c r="L27" s="44"/>
      <c r="M27" s="32"/>
      <c r="N27" s="52"/>
      <c r="O27" s="47"/>
      <c r="P27" s="4"/>
      <c r="Q27" s="4"/>
      <c r="R27" s="5"/>
      <c r="S27" s="93"/>
      <c r="T27" s="6"/>
      <c r="U27" s="48"/>
      <c r="V27" s="49"/>
      <c r="W27" s="49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66.75" customHeight="1" hidden="1">
      <c r="A28" s="50"/>
      <c r="B28" s="42"/>
      <c r="C28" s="51"/>
      <c r="D28" s="51"/>
      <c r="E28" s="44"/>
      <c r="F28" s="45"/>
      <c r="G28" s="45"/>
      <c r="H28" s="46"/>
      <c r="I28" s="135"/>
      <c r="J28" s="134"/>
      <c r="K28" s="134"/>
      <c r="L28" s="134"/>
      <c r="M28" s="135"/>
      <c r="N28" s="52"/>
      <c r="O28" s="52"/>
      <c r="P28" s="136"/>
      <c r="Q28" s="136"/>
      <c r="R28" s="5"/>
      <c r="S28" s="137"/>
      <c r="T28" s="32"/>
      <c r="U28" s="48"/>
      <c r="V28" s="49"/>
      <c r="W28" s="49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66.75" customHeight="1" hidden="1">
      <c r="A29" s="50"/>
      <c r="B29" s="42"/>
      <c r="C29" s="51"/>
      <c r="D29" s="51"/>
      <c r="E29" s="44"/>
      <c r="F29" s="45"/>
      <c r="G29" s="45"/>
      <c r="H29" s="46"/>
      <c r="I29" s="135"/>
      <c r="J29" s="134"/>
      <c r="K29" s="134"/>
      <c r="L29" s="134"/>
      <c r="M29" s="135"/>
      <c r="N29" s="52"/>
      <c r="O29" s="149"/>
      <c r="P29" s="136"/>
      <c r="Q29" s="136"/>
      <c r="R29" s="150"/>
      <c r="S29" s="137"/>
      <c r="T29" s="32"/>
      <c r="U29" s="48"/>
      <c r="V29" s="49"/>
      <c r="W29" s="49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66.75" customHeight="1">
      <c r="A30" s="50">
        <v>1</v>
      </c>
      <c r="B30" s="42" t="s">
        <v>15</v>
      </c>
      <c r="C30" s="51" t="s">
        <v>44</v>
      </c>
      <c r="D30" s="51" t="s">
        <v>34</v>
      </c>
      <c r="E30" s="44">
        <v>24800000</v>
      </c>
      <c r="F30" s="45" t="s">
        <v>45</v>
      </c>
      <c r="G30" s="45"/>
      <c r="H30" s="46" t="s">
        <v>28</v>
      </c>
      <c r="I30" s="135">
        <v>5480000</v>
      </c>
      <c r="J30" s="134">
        <v>-1560000</v>
      </c>
      <c r="K30" s="134">
        <v>4158000</v>
      </c>
      <c r="L30" s="134">
        <v>1782000</v>
      </c>
      <c r="M30" s="135">
        <f>785000+785000+785000+785000+780000</f>
        <v>3920000</v>
      </c>
      <c r="N30" s="52">
        <f aca="true" t="shared" si="2" ref="N30:N38">I30+J30-M30</f>
        <v>0</v>
      </c>
      <c r="O30" s="149">
        <f t="shared" si="0"/>
        <v>0</v>
      </c>
      <c r="P30" s="136"/>
      <c r="Q30" s="136"/>
      <c r="R30" s="150">
        <f>11244.19+8136.45+7466.64+5356.72+4250.3+1103.98</f>
        <v>37558.280000000006</v>
      </c>
      <c r="S30" s="150">
        <f>11244.19+8136.45+7466.64+5356.72+4250.3+1103.98</f>
        <v>37558.280000000006</v>
      </c>
      <c r="T30" s="32">
        <f t="shared" si="1"/>
        <v>0</v>
      </c>
      <c r="U30" s="48">
        <f aca="true" t="shared" si="3" ref="U30:U38">O30+T30</f>
        <v>0</v>
      </c>
      <c r="V30" s="49"/>
      <c r="W30" s="49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66.75" customHeight="1">
      <c r="A31" s="50">
        <v>2</v>
      </c>
      <c r="B31" s="131" t="s">
        <v>15</v>
      </c>
      <c r="C31" s="43" t="s">
        <v>46</v>
      </c>
      <c r="D31" s="43" t="s">
        <v>34</v>
      </c>
      <c r="E31" s="2">
        <v>16000000</v>
      </c>
      <c r="F31" s="92">
        <v>43819</v>
      </c>
      <c r="G31" s="92"/>
      <c r="H31" s="132" t="s">
        <v>28</v>
      </c>
      <c r="I31" s="135">
        <v>6000000</v>
      </c>
      <c r="J31" s="134">
        <v>-3500000</v>
      </c>
      <c r="K31" s="134"/>
      <c r="L31" s="134"/>
      <c r="M31" s="135">
        <f>500000+500000+500000+500000+500000</f>
        <v>2500000</v>
      </c>
      <c r="N31" s="52">
        <f t="shared" si="2"/>
        <v>0</v>
      </c>
      <c r="O31" s="149">
        <f t="shared" si="0"/>
        <v>0</v>
      </c>
      <c r="P31" s="136"/>
      <c r="Q31" s="136"/>
      <c r="R31" s="150">
        <f>12667.32+10155.08+10261.23+8739.74+8208.96+2476.84</f>
        <v>52509.17</v>
      </c>
      <c r="S31" s="150">
        <f>12667.32+10155.08+10261.23+8739.74+8208.96+2476.84</f>
        <v>52509.17</v>
      </c>
      <c r="T31" s="32">
        <f t="shared" si="1"/>
        <v>0</v>
      </c>
      <c r="U31" s="48">
        <f>O31+T31</f>
        <v>0</v>
      </c>
      <c r="V31" s="49"/>
      <c r="W31" s="49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66.75" customHeight="1">
      <c r="A32" s="41">
        <v>3</v>
      </c>
      <c r="B32" s="42" t="s">
        <v>15</v>
      </c>
      <c r="C32" s="51" t="s">
        <v>49</v>
      </c>
      <c r="D32" s="51" t="s">
        <v>34</v>
      </c>
      <c r="E32" s="44">
        <v>36756000</v>
      </c>
      <c r="F32" s="45" t="s">
        <v>50</v>
      </c>
      <c r="G32" s="45"/>
      <c r="H32" s="46" t="s">
        <v>28</v>
      </c>
      <c r="I32" s="135">
        <v>19664000</v>
      </c>
      <c r="J32" s="134"/>
      <c r="K32" s="134"/>
      <c r="L32" s="134"/>
      <c r="M32" s="135"/>
      <c r="N32" s="52">
        <f t="shared" si="2"/>
        <v>19664000</v>
      </c>
      <c r="O32" s="149">
        <f t="shared" si="0"/>
        <v>19664000</v>
      </c>
      <c r="P32" s="136"/>
      <c r="Q32" s="136"/>
      <c r="R32" s="150">
        <v>9751.16</v>
      </c>
      <c r="S32" s="137">
        <v>9751.16</v>
      </c>
      <c r="T32" s="32">
        <f t="shared" si="1"/>
        <v>0</v>
      </c>
      <c r="U32" s="48">
        <f t="shared" si="3"/>
        <v>19664000</v>
      </c>
      <c r="V32" s="49"/>
      <c r="W32" s="49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66.75" customHeight="1">
      <c r="A33" s="41">
        <v>4</v>
      </c>
      <c r="B33" s="42" t="s">
        <v>15</v>
      </c>
      <c r="C33" s="51" t="s">
        <v>51</v>
      </c>
      <c r="D33" s="51" t="s">
        <v>34</v>
      </c>
      <c r="E33" s="44">
        <v>20000000</v>
      </c>
      <c r="F33" s="45">
        <v>43982</v>
      </c>
      <c r="G33" s="45"/>
      <c r="H33" s="46" t="s">
        <v>28</v>
      </c>
      <c r="I33" s="135">
        <v>12146000</v>
      </c>
      <c r="J33" s="134">
        <v>-4998000</v>
      </c>
      <c r="K33" s="134">
        <v>5497800</v>
      </c>
      <c r="L33" s="134">
        <v>2356200</v>
      </c>
      <c r="M33" s="135">
        <f>714000+714000+714000+714000+714000</f>
        <v>3570000</v>
      </c>
      <c r="N33" s="52">
        <f t="shared" si="2"/>
        <v>3578000</v>
      </c>
      <c r="O33" s="149">
        <f t="shared" si="0"/>
        <v>3578000</v>
      </c>
      <c r="P33" s="136"/>
      <c r="Q33" s="136"/>
      <c r="R33" s="150">
        <v>120699.3</v>
      </c>
      <c r="S33" s="137">
        <v>120699.3</v>
      </c>
      <c r="T33" s="32">
        <f t="shared" si="1"/>
        <v>0</v>
      </c>
      <c r="U33" s="48">
        <f t="shared" si="3"/>
        <v>3578000</v>
      </c>
      <c r="V33" s="49"/>
      <c r="W33" s="49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66.75" customHeight="1">
      <c r="A34" s="41">
        <v>5</v>
      </c>
      <c r="B34" s="42" t="s">
        <v>15</v>
      </c>
      <c r="C34" s="51" t="s">
        <v>55</v>
      </c>
      <c r="D34" s="51" t="s">
        <v>34</v>
      </c>
      <c r="E34" s="44">
        <v>1400000</v>
      </c>
      <c r="F34" s="45">
        <v>44032</v>
      </c>
      <c r="G34" s="45"/>
      <c r="H34" s="46" t="s">
        <v>28</v>
      </c>
      <c r="I34" s="135">
        <v>894000</v>
      </c>
      <c r="J34" s="134">
        <v>-322000</v>
      </c>
      <c r="K34" s="134">
        <v>354200</v>
      </c>
      <c r="L34" s="134">
        <v>151800</v>
      </c>
      <c r="M34" s="135">
        <f>46000+46000+46000+46000+46000</f>
        <v>230000</v>
      </c>
      <c r="N34" s="52">
        <f t="shared" si="2"/>
        <v>342000</v>
      </c>
      <c r="O34" s="149">
        <f t="shared" si="0"/>
        <v>342000</v>
      </c>
      <c r="P34" s="136"/>
      <c r="Q34" s="136"/>
      <c r="R34" s="150">
        <v>9216.85</v>
      </c>
      <c r="S34" s="137">
        <v>9216.85</v>
      </c>
      <c r="T34" s="32">
        <f t="shared" si="1"/>
        <v>0</v>
      </c>
      <c r="U34" s="48">
        <f>O34+T34</f>
        <v>342000</v>
      </c>
      <c r="V34" s="49"/>
      <c r="W34" s="49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66.75" customHeight="1">
      <c r="A35" s="50">
        <v>6</v>
      </c>
      <c r="B35" s="42" t="s">
        <v>15</v>
      </c>
      <c r="C35" s="51" t="s">
        <v>60</v>
      </c>
      <c r="D35" s="51" t="s">
        <v>34</v>
      </c>
      <c r="E35" s="44">
        <v>10000000</v>
      </c>
      <c r="F35" s="45">
        <v>44190</v>
      </c>
      <c r="G35" s="45"/>
      <c r="H35" s="46" t="s">
        <v>28</v>
      </c>
      <c r="I35" s="135">
        <v>6920000</v>
      </c>
      <c r="J35" s="134">
        <v>-1960000</v>
      </c>
      <c r="K35" s="134">
        <v>2156000</v>
      </c>
      <c r="L35" s="134">
        <v>924000</v>
      </c>
      <c r="M35" s="135">
        <f>280000+280000+280000+280000+280000</f>
        <v>1400000</v>
      </c>
      <c r="N35" s="52">
        <f t="shared" si="2"/>
        <v>3560000</v>
      </c>
      <c r="O35" s="149">
        <f t="shared" si="0"/>
        <v>3560000</v>
      </c>
      <c r="P35" s="155" t="s">
        <v>61</v>
      </c>
      <c r="Q35" s="136"/>
      <c r="R35" s="150">
        <v>74990.43</v>
      </c>
      <c r="S35" s="137">
        <v>74990.43</v>
      </c>
      <c r="T35" s="32">
        <f t="shared" si="1"/>
        <v>0</v>
      </c>
      <c r="U35" s="48">
        <f t="shared" si="3"/>
        <v>3560000</v>
      </c>
      <c r="V35" s="49"/>
      <c r="W35" s="49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66.75" customHeight="1" hidden="1">
      <c r="A36" s="50"/>
      <c r="B36" s="42"/>
      <c r="C36" s="51"/>
      <c r="D36" s="51"/>
      <c r="E36" s="44"/>
      <c r="F36" s="45"/>
      <c r="G36" s="45"/>
      <c r="H36" s="46"/>
      <c r="I36" s="135"/>
      <c r="J36" s="134"/>
      <c r="K36" s="134"/>
      <c r="L36" s="134"/>
      <c r="M36" s="135"/>
      <c r="N36" s="52"/>
      <c r="O36" s="149"/>
      <c r="P36" s="155"/>
      <c r="Q36" s="136"/>
      <c r="R36" s="150"/>
      <c r="S36" s="137"/>
      <c r="T36" s="32"/>
      <c r="U36" s="48"/>
      <c r="V36" s="49"/>
      <c r="W36" s="49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66.75" customHeight="1">
      <c r="A37" s="50">
        <v>7</v>
      </c>
      <c r="B37" s="42" t="s">
        <v>15</v>
      </c>
      <c r="C37" s="51" t="s">
        <v>78</v>
      </c>
      <c r="D37" s="51" t="s">
        <v>34</v>
      </c>
      <c r="E37" s="44">
        <v>0</v>
      </c>
      <c r="F37" s="45" t="s">
        <v>77</v>
      </c>
      <c r="G37" s="45"/>
      <c r="H37" s="46" t="s">
        <v>28</v>
      </c>
      <c r="I37" s="135">
        <v>2500000</v>
      </c>
      <c r="J37" s="134"/>
      <c r="K37" s="134"/>
      <c r="L37" s="134"/>
      <c r="M37" s="135"/>
      <c r="N37" s="52">
        <f t="shared" si="2"/>
        <v>2500000</v>
      </c>
      <c r="O37" s="149">
        <f t="shared" si="0"/>
        <v>2500000</v>
      </c>
      <c r="P37" s="155"/>
      <c r="Q37" s="136"/>
      <c r="R37" s="150">
        <v>31942.52</v>
      </c>
      <c r="S37" s="137">
        <v>31942.52</v>
      </c>
      <c r="T37" s="32">
        <f t="shared" si="1"/>
        <v>0</v>
      </c>
      <c r="U37" s="48">
        <f t="shared" si="3"/>
        <v>2500000</v>
      </c>
      <c r="V37" s="49"/>
      <c r="W37" s="49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66.75" customHeight="1">
      <c r="A38" s="50">
        <v>8</v>
      </c>
      <c r="B38" s="42" t="s">
        <v>15</v>
      </c>
      <c r="C38" s="51" t="s">
        <v>103</v>
      </c>
      <c r="D38" s="51" t="s">
        <v>34</v>
      </c>
      <c r="E38" s="44">
        <v>0</v>
      </c>
      <c r="F38" s="45" t="s">
        <v>104</v>
      </c>
      <c r="G38" s="45"/>
      <c r="H38" s="46" t="s">
        <v>28</v>
      </c>
      <c r="I38" s="135">
        <v>0</v>
      </c>
      <c r="J38" s="134">
        <v>12340000</v>
      </c>
      <c r="K38" s="134"/>
      <c r="L38" s="134"/>
      <c r="M38" s="135">
        <v>0</v>
      </c>
      <c r="N38" s="149">
        <f t="shared" si="2"/>
        <v>12340000</v>
      </c>
      <c r="O38" s="149">
        <f t="shared" si="0"/>
        <v>12340000</v>
      </c>
      <c r="P38" s="155"/>
      <c r="Q38" s="136"/>
      <c r="R38" s="150">
        <v>676.16</v>
      </c>
      <c r="S38" s="137">
        <v>676.16</v>
      </c>
      <c r="T38" s="32">
        <f t="shared" si="1"/>
        <v>0</v>
      </c>
      <c r="U38" s="48">
        <f t="shared" si="3"/>
        <v>12340000</v>
      </c>
      <c r="V38" s="49"/>
      <c r="W38" s="49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51" ht="15.75" customHeight="1" thickBot="1">
      <c r="A39" s="94" t="s">
        <v>21</v>
      </c>
      <c r="B39" s="18"/>
      <c r="C39" s="18"/>
      <c r="D39" s="95"/>
      <c r="E39" s="96"/>
      <c r="F39" s="97"/>
      <c r="G39" s="97"/>
      <c r="H39" s="97"/>
      <c r="I39" s="133">
        <f>SUM(I23:I38)</f>
        <v>53604000</v>
      </c>
      <c r="J39" s="133">
        <f>SUM(J23:J38)</f>
        <v>0</v>
      </c>
      <c r="K39" s="133">
        <f>SUM(K23:K37)</f>
        <v>12166000</v>
      </c>
      <c r="L39" s="133">
        <f>SUM(L23:L37)</f>
        <v>5214000</v>
      </c>
      <c r="M39" s="133">
        <f>SUM(M23:M38)</f>
        <v>11620000</v>
      </c>
      <c r="N39" s="133">
        <f>SUM(N23:N38)</f>
        <v>41984000</v>
      </c>
      <c r="O39" s="133">
        <f>SUM(O23:O38)</f>
        <v>41984000</v>
      </c>
      <c r="P39" s="133">
        <f aca="true" t="shared" si="4" ref="P39:U39">SUM(P23:P38)</f>
        <v>0</v>
      </c>
      <c r="Q39" s="133">
        <f t="shared" si="4"/>
        <v>0</v>
      </c>
      <c r="R39" s="133">
        <f t="shared" si="4"/>
        <v>337343.87000000005</v>
      </c>
      <c r="S39" s="133">
        <f t="shared" si="4"/>
        <v>337343.87000000005</v>
      </c>
      <c r="T39" s="133">
        <f t="shared" si="4"/>
        <v>0</v>
      </c>
      <c r="U39" s="133">
        <f t="shared" si="4"/>
        <v>41984000</v>
      </c>
      <c r="V39" s="133" t="e">
        <f>#REF!+#REF!+#REF!+#REF!+V23+V24+#REF!+#REF!+#REF!+#REF!+V27+#REF!+V28+V29+V30+V31+V25+V26+V32+V33+V34+V35</f>
        <v>#REF!</v>
      </c>
      <c r="W39" s="133" t="e">
        <f>#REF!+#REF!+#REF!+#REF!+W23+W24+#REF!+#REF!+#REF!+#REF!+W27+#REF!+W28+W29+W30+W31+W25+W26+W32+W33+W34+W35</f>
        <v>#REF!</v>
      </c>
      <c r="X39" s="133" t="e">
        <f>#REF!+#REF!+#REF!+#REF!+X23+X24+#REF!+#REF!+#REF!+#REF!+X27+#REF!+X28+X29+X30+X31+X25+X26+X32+X33+X34+X35</f>
        <v>#REF!</v>
      </c>
      <c r="Y39" s="133" t="e">
        <f>#REF!+#REF!+#REF!+#REF!+Y23+Y24+#REF!+#REF!+#REF!+#REF!+Y27+#REF!+Y28+Y29+Y30+Y31+Y25+Y26+Y32+Y33+Y34+Y35</f>
        <v>#REF!</v>
      </c>
      <c r="Z39" s="133" t="e">
        <f>#REF!+#REF!+#REF!+#REF!+Z23+Z24+#REF!+#REF!+#REF!+#REF!+Z27+#REF!+Z28+Z29+Z30+Z31+Z25+Z26+Z32+Z33+Z34+Z35</f>
        <v>#REF!</v>
      </c>
      <c r="AA39" s="133" t="e">
        <f>#REF!+#REF!+#REF!+#REF!+AA23+AA24+#REF!+#REF!+#REF!+#REF!+AA27+#REF!+AA28+AA29+AA30+AA31+AA25+AA26+AA32+AA33+AA34+AA35</f>
        <v>#REF!</v>
      </c>
      <c r="AB39" s="133" t="e">
        <f>#REF!+#REF!+#REF!+#REF!+AB23+AB24+#REF!+#REF!+#REF!+#REF!+AB27+#REF!+AB28+AB29+AB30+AB31+AB25+AB26+AB32+AB33+AB34+AB35</f>
        <v>#REF!</v>
      </c>
      <c r="AC39" s="133" t="e">
        <f>#REF!+#REF!+#REF!+#REF!+AC23+AC24+#REF!+#REF!+#REF!+#REF!+AC27+#REF!+AC28+AC29+AC30+AC31+AC25+AC26+AC32+AC33+AC34+AC35</f>
        <v>#REF!</v>
      </c>
      <c r="AD39" s="133" t="e">
        <f>#REF!+#REF!+#REF!+#REF!+AD23+AD24+#REF!+#REF!+#REF!+#REF!+AD27+#REF!+AD28+AD29+AD30+AD31+AD25+AD26+AD32+AD33+AD34+AD35</f>
        <v>#REF!</v>
      </c>
      <c r="AE39" s="133" t="e">
        <f>#REF!+#REF!+#REF!+#REF!+AE23+AE24+#REF!+#REF!+#REF!+#REF!+AE27+#REF!+AE28+AE29+AE30+AE31+AE25+AE26+AE32+AE33+AE34+AE35</f>
        <v>#REF!</v>
      </c>
      <c r="AF39" s="133" t="e">
        <f>#REF!+#REF!+#REF!+#REF!+AF23+AF24+#REF!+#REF!+#REF!+#REF!+AF27+#REF!+AF28+AF29+AF30+AF31+AF25+AF26+AF32+AF33+AF34+AF35</f>
        <v>#REF!</v>
      </c>
      <c r="AG39" s="133" t="e">
        <f>#REF!+#REF!+#REF!+#REF!+AG23+AG24+#REF!+#REF!+#REF!+#REF!+AG27+#REF!+AG28+AG29+AG30+AG31+AG25+AG26+AG32+AG33+AG34+AG35</f>
        <v>#REF!</v>
      </c>
      <c r="AH39" s="133" t="e">
        <f>#REF!+#REF!+#REF!+#REF!+AH23+AH24+#REF!+#REF!+#REF!+#REF!+AH27+#REF!+AH28+AH29+AH30+AH31+AH25+AH26+AH32+AH33+AH34+AH35</f>
        <v>#REF!</v>
      </c>
      <c r="AI39" s="133" t="e">
        <f>#REF!+#REF!+#REF!+#REF!+AI23+AI24+#REF!+#REF!+#REF!+#REF!+AI27+#REF!+AI28+AI29+AI30+AI31+AI25+AI26+AI32+AI33+AI34+AI35</f>
        <v>#REF!</v>
      </c>
      <c r="AJ39" s="133" t="e">
        <f>#REF!+#REF!+#REF!+#REF!+AJ23+AJ24+#REF!+#REF!+#REF!+#REF!+AJ27+#REF!+AJ28+AJ29+AJ30+AJ31+AJ25+AJ26+AJ32+AJ33+AJ34+AJ35</f>
        <v>#REF!</v>
      </c>
      <c r="AK39" s="133" t="e">
        <f>#REF!+#REF!+#REF!+#REF!+AK23+AK24+#REF!+#REF!+#REF!+#REF!+AK27+#REF!+AK28+AK29+AK30+AK31+AK25+AK26+AK32+AK33+AK34+AK35</f>
        <v>#REF!</v>
      </c>
      <c r="AL39" s="133" t="e">
        <f>#REF!+#REF!+#REF!+#REF!+AL23+AL24+#REF!+#REF!+#REF!+#REF!+AL27+#REF!+AL28+AL29+AL30+AL31+AL25+AL26+AL32+AL33+AL34+AL35</f>
        <v>#REF!</v>
      </c>
      <c r="AM39" s="133" t="e">
        <f>#REF!+#REF!+#REF!+#REF!+AM23+AM24+#REF!+#REF!+#REF!+#REF!+AM27+#REF!+AM28+AM29+AM30+AM31+AM25+AM26+AM32+AM33+AM34+AM35</f>
        <v>#REF!</v>
      </c>
      <c r="AN39" s="133" t="e">
        <f>#REF!+#REF!+#REF!+#REF!+AN23+AN24+#REF!+#REF!+#REF!+#REF!+AN27+#REF!+AN28+AN29+AN30+AN31+AN25+AN26+AN32+AN33+AN34+AN35</f>
        <v>#REF!</v>
      </c>
      <c r="AO39" s="133" t="e">
        <f>#REF!+#REF!+#REF!+#REF!+AO23+AO24+#REF!+#REF!+#REF!+#REF!+AO27+#REF!+AO28+AO29+AO30+AO31+AO25+AO26+AO32+AO33+AO34+AO35</f>
        <v>#REF!</v>
      </c>
      <c r="AP39" s="133" t="e">
        <f>#REF!+#REF!+#REF!+#REF!+AP23+AP24+#REF!+#REF!+#REF!+#REF!+AP27+#REF!+AP28+AP29+AP30+AP31+AP25+AP26+AP32+AP33+AP34+AP35</f>
        <v>#REF!</v>
      </c>
      <c r="AQ39" s="133" t="e">
        <f>#REF!+#REF!+#REF!+#REF!+AQ23+AQ24+#REF!+#REF!+#REF!+#REF!+AQ27+#REF!+AQ28+AQ29+AQ30+AQ31+AQ25+AQ26+AQ32+AQ33+AQ34+AQ35</f>
        <v>#REF!</v>
      </c>
      <c r="AR39" s="133" t="e">
        <f>#REF!+#REF!+#REF!+#REF!+AR23+AR24+#REF!+#REF!+#REF!+#REF!+AR27+#REF!+AR28+AR29+AR30+AR31+AR25+AR26+AR32+AR33+AR34+AR35</f>
        <v>#REF!</v>
      </c>
      <c r="AS39" s="133" t="e">
        <f>#REF!+#REF!+#REF!+#REF!+AS23+AS24+#REF!+#REF!+#REF!+#REF!+AS27+#REF!+AS28+AS29+AS30+AS31+AS25+AS26+AS32+AS33+AS34+AS35</f>
        <v>#REF!</v>
      </c>
      <c r="AT39" s="133" t="e">
        <f>#REF!+#REF!+#REF!+#REF!+AT23+AT24+#REF!+#REF!+#REF!+#REF!+AT27+#REF!+AT28+AT29+AT30+AT31+AT25+AT26+AT32+AT33+AT34+AT35</f>
        <v>#REF!</v>
      </c>
      <c r="AU39" s="133" t="e">
        <f>#REF!+#REF!+#REF!+#REF!+AU23+AU24+#REF!+#REF!+#REF!+#REF!+AU27+#REF!+AU28+AU29+AU30+AU31+AU25+AU26+AU32+AU33+AU34+AU35</f>
        <v>#REF!</v>
      </c>
      <c r="AV39" s="133" t="e">
        <f>#REF!+#REF!+#REF!+#REF!+AV23+AV24+#REF!+#REF!+#REF!+#REF!+AV27+#REF!+AV28+AV29+AV30+AV31+AV25+AV26+AV32+AV33+AV34+AV35</f>
        <v>#REF!</v>
      </c>
      <c r="AW39" s="133" t="e">
        <f>#REF!+#REF!+#REF!+#REF!+AW23+AW24+#REF!+#REF!+#REF!+#REF!+AW27+#REF!+AW28+AW29+AW30+AW31+AW25+AW26+AW32+AW33+AW34+AW35</f>
        <v>#REF!</v>
      </c>
      <c r="AX39" s="133" t="e">
        <f>#REF!+#REF!+#REF!+#REF!+AX23+AX24+#REF!+#REF!+#REF!+#REF!+AX27+#REF!+AX28+AX29+AX30+AX31+AX25+AX26+AX32+AX33+AX34+AX35</f>
        <v>#REF!</v>
      </c>
      <c r="AY39" s="133" t="e">
        <f>#REF!+#REF!+#REF!+#REF!+AY23+AY24+#REF!+#REF!+#REF!+#REF!+AY27+#REF!+AY28+AY29+AY30+AY31+AY25+AY26+AY32+AY33+AY34+AY35</f>
        <v>#REF!</v>
      </c>
    </row>
    <row r="40" spans="1:22" ht="16.5" customHeight="1" thickBot="1">
      <c r="A40" s="138" t="s">
        <v>19</v>
      </c>
      <c r="B40" s="139" t="s">
        <v>23</v>
      </c>
      <c r="C40" s="139"/>
      <c r="D40" s="139"/>
      <c r="E40" s="139"/>
      <c r="F40" s="139"/>
      <c r="G40" s="139"/>
      <c r="H40" s="20"/>
      <c r="I40" s="10"/>
      <c r="J40" s="10"/>
      <c r="K40" s="10"/>
      <c r="L40" s="10"/>
      <c r="M40" s="10"/>
      <c r="N40" s="10"/>
      <c r="O40" s="98"/>
      <c r="P40" s="10"/>
      <c r="Q40" s="10"/>
      <c r="R40" s="10"/>
      <c r="S40" s="142"/>
      <c r="T40" s="10"/>
      <c r="U40" s="143"/>
      <c r="V40" s="25"/>
    </row>
    <row r="41" spans="1:22" ht="69" customHeight="1">
      <c r="A41" s="148">
        <v>1</v>
      </c>
      <c r="B41" s="42" t="s">
        <v>23</v>
      </c>
      <c r="C41" s="141" t="s">
        <v>63</v>
      </c>
      <c r="D41" s="131" t="s">
        <v>64</v>
      </c>
      <c r="E41" s="17">
        <v>100000000</v>
      </c>
      <c r="F41" s="151" t="s">
        <v>65</v>
      </c>
      <c r="G41" s="154" t="s">
        <v>62</v>
      </c>
      <c r="H41" s="132" t="s">
        <v>28</v>
      </c>
      <c r="I41" s="152">
        <v>10000000</v>
      </c>
      <c r="J41" s="152">
        <v>0</v>
      </c>
      <c r="K41" s="152"/>
      <c r="L41" s="152"/>
      <c r="M41" s="152">
        <v>0</v>
      </c>
      <c r="N41" s="6">
        <f>I41+J41-M41</f>
        <v>10000000</v>
      </c>
      <c r="O41" s="6">
        <f>N41</f>
        <v>10000000</v>
      </c>
      <c r="P41" s="3"/>
      <c r="Q41" s="3"/>
      <c r="R41" s="3">
        <f>80050.6+72303.77+80050.59+77468.32+80050.59+77468.32+80050.6+80050.59</f>
        <v>627493.38</v>
      </c>
      <c r="S41" s="3">
        <f>80050.6+72303.77+80050.59+77468.32+80050.59+77468.32+80050.6</f>
        <v>547442.79</v>
      </c>
      <c r="T41" s="6">
        <f>Q41+R41-S41</f>
        <v>80050.58999999997</v>
      </c>
      <c r="U41" s="6">
        <f>N41+Q41+R41-S41</f>
        <v>10080050.59</v>
      </c>
      <c r="V41" s="25"/>
    </row>
    <row r="42" spans="1:22" ht="69" customHeight="1">
      <c r="A42" s="148">
        <v>2</v>
      </c>
      <c r="B42" s="131" t="s">
        <v>23</v>
      </c>
      <c r="C42" s="157" t="s">
        <v>74</v>
      </c>
      <c r="D42" s="131" t="s">
        <v>41</v>
      </c>
      <c r="E42" s="17">
        <v>160000000</v>
      </c>
      <c r="F42" s="151" t="s">
        <v>76</v>
      </c>
      <c r="G42" s="154" t="s">
        <v>75</v>
      </c>
      <c r="H42" s="132" t="s">
        <v>28</v>
      </c>
      <c r="I42" s="152">
        <v>16000000</v>
      </c>
      <c r="J42" s="152">
        <v>0</v>
      </c>
      <c r="K42" s="152"/>
      <c r="L42" s="152"/>
      <c r="M42" s="152">
        <v>0</v>
      </c>
      <c r="N42" s="6">
        <f>I42+J42-M42</f>
        <v>16000000</v>
      </c>
      <c r="O42" s="6">
        <f>N42</f>
        <v>16000000</v>
      </c>
      <c r="P42" s="3"/>
      <c r="Q42" s="3"/>
      <c r="R42" s="3">
        <f>132282.52+119480.99+132282.52+128015.34+132282.52+128015.34+132282.52+132282.52</f>
        <v>1036924.27</v>
      </c>
      <c r="S42" s="3">
        <f>132282.52+119480.99+132282.52+128015.34+132282.52+128015.34+132282.52+132282.52</f>
        <v>1036924.27</v>
      </c>
      <c r="T42" s="6">
        <f>Q42+R42-S42</f>
        <v>0</v>
      </c>
      <c r="U42" s="6">
        <f>N42+Q42+R42-S42</f>
        <v>16000000</v>
      </c>
      <c r="V42" s="25"/>
    </row>
    <row r="43" spans="1:22" ht="69" customHeight="1">
      <c r="A43" s="158">
        <v>3</v>
      </c>
      <c r="B43" s="131" t="s">
        <v>23</v>
      </c>
      <c r="C43" s="157" t="s">
        <v>109</v>
      </c>
      <c r="D43" s="131" t="s">
        <v>110</v>
      </c>
      <c r="E43" s="17">
        <v>15000000</v>
      </c>
      <c r="F43" s="151" t="s">
        <v>111</v>
      </c>
      <c r="G43" s="154" t="s">
        <v>112</v>
      </c>
      <c r="H43" s="132" t="s">
        <v>28</v>
      </c>
      <c r="I43" s="152">
        <v>0</v>
      </c>
      <c r="J43" s="152">
        <v>15000000</v>
      </c>
      <c r="K43" s="152"/>
      <c r="L43" s="152"/>
      <c r="M43" s="152">
        <v>0</v>
      </c>
      <c r="N43" s="6">
        <f>I43+J43-M43</f>
        <v>15000000</v>
      </c>
      <c r="O43" s="6">
        <f>N43</f>
        <v>15000000</v>
      </c>
      <c r="P43" s="3"/>
      <c r="Q43" s="3"/>
      <c r="R43" s="3">
        <f>46109.59+119116.44</f>
        <v>165226.03</v>
      </c>
      <c r="S43" s="3">
        <f>46109.59+119116.44</f>
        <v>165226.03</v>
      </c>
      <c r="T43" s="6">
        <f>Q43+R43-S43</f>
        <v>0</v>
      </c>
      <c r="U43" s="6">
        <f>N43+Q43+R43-S43</f>
        <v>15000000</v>
      </c>
      <c r="V43" s="25"/>
    </row>
    <row r="44" spans="1:51" ht="16.5" customHeight="1" thickBot="1">
      <c r="A44" s="94" t="s">
        <v>21</v>
      </c>
      <c r="B44" s="140"/>
      <c r="C44" s="140"/>
      <c r="D44" s="14"/>
      <c r="E44" s="14"/>
      <c r="F44" s="14"/>
      <c r="G44" s="14"/>
      <c r="H44" s="14"/>
      <c r="I44" s="5">
        <f>I41+I42+I43</f>
        <v>26000000</v>
      </c>
      <c r="J44" s="5">
        <f aca="true" t="shared" si="5" ref="J44:U44">J41+J42+J43</f>
        <v>15000000</v>
      </c>
      <c r="K44" s="5">
        <f t="shared" si="5"/>
        <v>0</v>
      </c>
      <c r="L44" s="5">
        <f t="shared" si="5"/>
        <v>0</v>
      </c>
      <c r="M44" s="5">
        <f t="shared" si="5"/>
        <v>0</v>
      </c>
      <c r="N44" s="5">
        <f t="shared" si="5"/>
        <v>41000000</v>
      </c>
      <c r="O44" s="5">
        <f t="shared" si="5"/>
        <v>41000000</v>
      </c>
      <c r="P44" s="5">
        <f t="shared" si="5"/>
        <v>0</v>
      </c>
      <c r="Q44" s="5">
        <f t="shared" si="5"/>
        <v>0</v>
      </c>
      <c r="R44" s="5">
        <f t="shared" si="5"/>
        <v>1829643.68</v>
      </c>
      <c r="S44" s="5">
        <f t="shared" si="5"/>
        <v>1749593.09</v>
      </c>
      <c r="T44" s="5">
        <f t="shared" si="5"/>
        <v>80050.58999999997</v>
      </c>
      <c r="U44" s="5">
        <f t="shared" si="5"/>
        <v>41080050.59</v>
      </c>
      <c r="V44" s="5">
        <f aca="true" t="shared" si="6" ref="V44:AY44">V41+V42</f>
        <v>0</v>
      </c>
      <c r="W44" s="5">
        <f t="shared" si="6"/>
        <v>0</v>
      </c>
      <c r="X44" s="5">
        <f t="shared" si="6"/>
        <v>0</v>
      </c>
      <c r="Y44" s="5">
        <f t="shared" si="6"/>
        <v>0</v>
      </c>
      <c r="Z44" s="5">
        <f t="shared" si="6"/>
        <v>0</v>
      </c>
      <c r="AA44" s="5">
        <f t="shared" si="6"/>
        <v>0</v>
      </c>
      <c r="AB44" s="5">
        <f t="shared" si="6"/>
        <v>0</v>
      </c>
      <c r="AC44" s="5">
        <f t="shared" si="6"/>
        <v>0</v>
      </c>
      <c r="AD44" s="5">
        <f t="shared" si="6"/>
        <v>0</v>
      </c>
      <c r="AE44" s="5">
        <f t="shared" si="6"/>
        <v>0</v>
      </c>
      <c r="AF44" s="5">
        <f t="shared" si="6"/>
        <v>0</v>
      </c>
      <c r="AG44" s="5">
        <f t="shared" si="6"/>
        <v>0</v>
      </c>
      <c r="AH44" s="5">
        <f t="shared" si="6"/>
        <v>0</v>
      </c>
      <c r="AI44" s="5">
        <f t="shared" si="6"/>
        <v>0</v>
      </c>
      <c r="AJ44" s="5">
        <f t="shared" si="6"/>
        <v>0</v>
      </c>
      <c r="AK44" s="5">
        <f t="shared" si="6"/>
        <v>0</v>
      </c>
      <c r="AL44" s="5">
        <f t="shared" si="6"/>
        <v>0</v>
      </c>
      <c r="AM44" s="5">
        <f t="shared" si="6"/>
        <v>0</v>
      </c>
      <c r="AN44" s="5">
        <f t="shared" si="6"/>
        <v>0</v>
      </c>
      <c r="AO44" s="5">
        <f t="shared" si="6"/>
        <v>0</v>
      </c>
      <c r="AP44" s="5">
        <f t="shared" si="6"/>
        <v>0</v>
      </c>
      <c r="AQ44" s="5">
        <f t="shared" si="6"/>
        <v>0</v>
      </c>
      <c r="AR44" s="5">
        <f t="shared" si="6"/>
        <v>0</v>
      </c>
      <c r="AS44" s="5">
        <f t="shared" si="6"/>
        <v>0</v>
      </c>
      <c r="AT44" s="5">
        <f t="shared" si="6"/>
        <v>0</v>
      </c>
      <c r="AU44" s="5">
        <f t="shared" si="6"/>
        <v>0</v>
      </c>
      <c r="AV44" s="5">
        <f t="shared" si="6"/>
        <v>0</v>
      </c>
      <c r="AW44" s="5">
        <f t="shared" si="6"/>
        <v>0</v>
      </c>
      <c r="AX44" s="5">
        <f t="shared" si="6"/>
        <v>0</v>
      </c>
      <c r="AY44" s="5">
        <f t="shared" si="6"/>
        <v>0</v>
      </c>
    </row>
    <row r="45" spans="1:38" s="82" customFormat="1" ht="18" customHeight="1" thickBot="1">
      <c r="A45" s="100" t="s">
        <v>5</v>
      </c>
      <c r="B45" s="101" t="s">
        <v>22</v>
      </c>
      <c r="C45" s="101"/>
      <c r="D45" s="144"/>
      <c r="E45" s="144"/>
      <c r="F45" s="144"/>
      <c r="G45" s="144"/>
      <c r="H45" s="144"/>
      <c r="I45" s="144"/>
      <c r="J45" s="140"/>
      <c r="K45" s="140"/>
      <c r="L45" s="140"/>
      <c r="M45" s="140"/>
      <c r="N45" s="140"/>
      <c r="O45" s="140"/>
      <c r="P45" s="140"/>
      <c r="Q45" s="140"/>
      <c r="R45" s="140"/>
      <c r="S45" s="147"/>
      <c r="T45" s="140"/>
      <c r="U45" s="145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1:38" s="82" customFormat="1" ht="69.75" customHeight="1" hidden="1">
      <c r="A46" s="100"/>
      <c r="B46" s="102"/>
      <c r="C46" s="103"/>
      <c r="D46" s="103"/>
      <c r="E46" s="104"/>
      <c r="F46" s="103"/>
      <c r="G46" s="153"/>
      <c r="H46" s="46"/>
      <c r="I46" s="61"/>
      <c r="J46" s="61"/>
      <c r="K46" s="156"/>
      <c r="L46" s="156"/>
      <c r="M46" s="33"/>
      <c r="N46" s="61"/>
      <c r="O46" s="32"/>
      <c r="P46" s="21"/>
      <c r="Q46" s="21"/>
      <c r="R46" s="21"/>
      <c r="S46" s="146"/>
      <c r="T46" s="61"/>
      <c r="U46" s="61"/>
      <c r="V46" s="81"/>
      <c r="W46" s="105"/>
      <c r="X46" s="105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</row>
    <row r="47" spans="1:38" s="82" customFormat="1" ht="18" customHeight="1" thickBot="1">
      <c r="A47" s="106" t="s">
        <v>21</v>
      </c>
      <c r="B47" s="107"/>
      <c r="C47" s="108"/>
      <c r="D47" s="108"/>
      <c r="E47" s="109"/>
      <c r="F47" s="110"/>
      <c r="G47" s="110"/>
      <c r="H47" s="103"/>
      <c r="I47" s="34">
        <f>I46</f>
        <v>0</v>
      </c>
      <c r="J47" s="34">
        <f>J46</f>
        <v>0</v>
      </c>
      <c r="K47" s="34"/>
      <c r="L47" s="34"/>
      <c r="M47" s="34">
        <f>M46</f>
        <v>0</v>
      </c>
      <c r="N47" s="34">
        <f>N46</f>
        <v>0</v>
      </c>
      <c r="O47" s="34">
        <f>O46</f>
        <v>0</v>
      </c>
      <c r="P47" s="22">
        <v>3</v>
      </c>
      <c r="Q47" s="22">
        <v>0</v>
      </c>
      <c r="R47" s="22">
        <v>0</v>
      </c>
      <c r="S47" s="22">
        <v>0</v>
      </c>
      <c r="T47" s="34">
        <f>N47</f>
        <v>0</v>
      </c>
      <c r="U47" s="34">
        <f>T47</f>
        <v>0</v>
      </c>
      <c r="V47" s="81"/>
      <c r="W47" s="11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</row>
    <row r="48" spans="1:23" ht="16.5" customHeight="1" thickBot="1">
      <c r="A48" s="112"/>
      <c r="B48" s="20" t="s">
        <v>16</v>
      </c>
      <c r="C48" s="19"/>
      <c r="D48" s="19"/>
      <c r="E48" s="19"/>
      <c r="F48" s="99"/>
      <c r="G48" s="99"/>
      <c r="H48" s="113"/>
      <c r="I48" s="23">
        <f aca="true" t="shared" si="7" ref="I48:U48">I39+I44</f>
        <v>79604000</v>
      </c>
      <c r="J48" s="23">
        <f t="shared" si="7"/>
        <v>15000000</v>
      </c>
      <c r="K48" s="23">
        <f t="shared" si="7"/>
        <v>12166000</v>
      </c>
      <c r="L48" s="23">
        <f t="shared" si="7"/>
        <v>5214000</v>
      </c>
      <c r="M48" s="23">
        <f t="shared" si="7"/>
        <v>11620000</v>
      </c>
      <c r="N48" s="23">
        <f t="shared" si="7"/>
        <v>82984000</v>
      </c>
      <c r="O48" s="23">
        <f t="shared" si="7"/>
        <v>82984000</v>
      </c>
      <c r="P48" s="23">
        <f t="shared" si="7"/>
        <v>0</v>
      </c>
      <c r="Q48" s="23">
        <f t="shared" si="7"/>
        <v>0</v>
      </c>
      <c r="R48" s="23">
        <f t="shared" si="7"/>
        <v>2166987.55</v>
      </c>
      <c r="S48" s="23">
        <f t="shared" si="7"/>
        <v>2086936.9600000002</v>
      </c>
      <c r="T48" s="23">
        <f t="shared" si="7"/>
        <v>80050.58999999997</v>
      </c>
      <c r="U48" s="23">
        <f t="shared" si="7"/>
        <v>83064050.59</v>
      </c>
      <c r="V48" s="25"/>
      <c r="W48" s="114"/>
    </row>
    <row r="49" spans="1:22" ht="16.5" customHeight="1">
      <c r="A49" s="25"/>
      <c r="B49" s="81"/>
      <c r="C49" s="10"/>
      <c r="D49" s="10"/>
      <c r="E49" s="10"/>
      <c r="F49" s="10"/>
      <c r="G49" s="10"/>
      <c r="H49" s="10"/>
      <c r="I49" s="24"/>
      <c r="J49" s="24"/>
      <c r="K49" s="24"/>
      <c r="L49" s="24"/>
      <c r="M49" s="24"/>
      <c r="N49" s="24"/>
      <c r="O49" s="24"/>
      <c r="P49" s="40"/>
      <c r="Q49" s="24"/>
      <c r="R49" s="24"/>
      <c r="S49" s="24"/>
      <c r="T49" s="24"/>
      <c r="U49" s="24"/>
      <c r="V49" s="25"/>
    </row>
    <row r="50" spans="1:22" ht="16.5" customHeight="1">
      <c r="A50" s="25"/>
      <c r="B50" s="10" t="s">
        <v>35</v>
      </c>
      <c r="C50" s="10"/>
      <c r="D50" s="10"/>
      <c r="E50" s="10"/>
      <c r="F50" s="10"/>
      <c r="G50" s="10"/>
      <c r="H50" s="10"/>
      <c r="I50" s="24" t="s">
        <v>39</v>
      </c>
      <c r="J50" s="24"/>
      <c r="K50" s="24"/>
      <c r="L50" s="24"/>
      <c r="M50" s="24"/>
      <c r="N50" s="24"/>
      <c r="O50" s="24"/>
      <c r="P50" s="40"/>
      <c r="Q50" s="24"/>
      <c r="R50" s="24"/>
      <c r="S50" s="40"/>
      <c r="T50" s="24"/>
      <c r="U50" s="24"/>
      <c r="V50" s="25"/>
    </row>
    <row r="51" spans="1:22" ht="16.5" customHeight="1">
      <c r="A51" s="2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24"/>
      <c r="T51" s="10"/>
      <c r="U51" s="10"/>
      <c r="V51" s="25"/>
    </row>
    <row r="52" spans="1:22" ht="15.75" customHeight="1">
      <c r="A52" s="25"/>
      <c r="B52" s="10" t="s">
        <v>27</v>
      </c>
      <c r="C52" s="10"/>
      <c r="D52" s="115"/>
      <c r="E52" s="116"/>
      <c r="F52" s="116"/>
      <c r="G52" s="116"/>
      <c r="H52" s="116"/>
      <c r="I52" s="35" t="s">
        <v>43</v>
      </c>
      <c r="J52" s="35"/>
      <c r="K52" s="35"/>
      <c r="L52" s="35"/>
      <c r="M52" s="35"/>
      <c r="N52" s="35"/>
      <c r="O52" s="35"/>
      <c r="P52" s="10"/>
      <c r="Q52" s="10"/>
      <c r="R52" s="10"/>
      <c r="S52" s="10"/>
      <c r="T52" s="10"/>
      <c r="U52" s="10"/>
      <c r="V52" s="25"/>
    </row>
    <row r="53" spans="1:22" ht="15.75" customHeight="1">
      <c r="A53" s="25"/>
      <c r="B53" s="10" t="s">
        <v>26</v>
      </c>
      <c r="C53" s="10"/>
      <c r="D53" s="115"/>
      <c r="E53" s="116"/>
      <c r="F53" s="116"/>
      <c r="G53" s="116"/>
      <c r="H53" s="116"/>
      <c r="I53" s="35"/>
      <c r="J53" s="35"/>
      <c r="K53" s="35"/>
      <c r="L53" s="35"/>
      <c r="M53" s="35"/>
      <c r="N53" s="117"/>
      <c r="O53" s="117"/>
      <c r="P53" s="10"/>
      <c r="Q53" s="10"/>
      <c r="R53" s="10"/>
      <c r="S53" s="10"/>
      <c r="T53" s="10"/>
      <c r="U53" s="10"/>
      <c r="V53" s="25"/>
    </row>
    <row r="54" spans="1:22" ht="12.75">
      <c r="A54" s="25"/>
      <c r="B54" s="10"/>
      <c r="C54" s="10"/>
      <c r="D54" s="39"/>
      <c r="E54" s="10"/>
      <c r="F54" s="10"/>
      <c r="G54" s="10"/>
      <c r="H54" s="10"/>
      <c r="I54" s="36"/>
      <c r="J54" s="36"/>
      <c r="K54" s="36"/>
      <c r="L54" s="36"/>
      <c r="M54" s="36"/>
      <c r="N54" s="36"/>
      <c r="O54" s="36"/>
      <c r="P54" s="10"/>
      <c r="Q54" s="10"/>
      <c r="R54" s="10"/>
      <c r="S54" s="10"/>
      <c r="T54" s="10"/>
      <c r="U54" s="10"/>
      <c r="V54" s="25"/>
    </row>
    <row r="55" spans="1:22" ht="0.75" customHeight="1">
      <c r="A55" s="25"/>
      <c r="B55" s="10"/>
      <c r="C55" s="10"/>
      <c r="D55" s="39"/>
      <c r="E55" s="10"/>
      <c r="F55" s="10"/>
      <c r="G55" s="10"/>
      <c r="H55" s="10"/>
      <c r="I55" s="118"/>
      <c r="J55" s="36"/>
      <c r="K55" s="36"/>
      <c r="L55" s="36"/>
      <c r="M55" s="36"/>
      <c r="N55" s="36"/>
      <c r="O55" s="36"/>
      <c r="P55" s="10"/>
      <c r="Q55" s="10"/>
      <c r="R55" s="10"/>
      <c r="S55" s="10"/>
      <c r="T55" s="10"/>
      <c r="U55" s="10"/>
      <c r="V55" s="25"/>
    </row>
    <row r="56" spans="1:22" ht="14.25" customHeight="1" hidden="1">
      <c r="A56" s="25"/>
      <c r="B56" s="10"/>
      <c r="C56" s="10"/>
      <c r="D56" s="39"/>
      <c r="E56" s="10"/>
      <c r="F56" s="10"/>
      <c r="G56" s="10"/>
      <c r="H56" s="10"/>
      <c r="I56" s="36"/>
      <c r="J56" s="36"/>
      <c r="K56" s="36"/>
      <c r="L56" s="36"/>
      <c r="M56" s="36"/>
      <c r="N56" s="36"/>
      <c r="O56" s="36"/>
      <c r="P56" s="10"/>
      <c r="Q56" s="10"/>
      <c r="R56" s="10"/>
      <c r="S56" s="10"/>
      <c r="T56" s="10"/>
      <c r="U56" s="10"/>
      <c r="V56" s="25"/>
    </row>
    <row r="57" spans="1:22" ht="13.5" customHeight="1" hidden="1">
      <c r="A57" s="25"/>
      <c r="B57" s="10"/>
      <c r="C57" s="10"/>
      <c r="D57" s="10"/>
      <c r="E57" s="10"/>
      <c r="F57" s="10"/>
      <c r="G57" s="10"/>
      <c r="H57" s="10"/>
      <c r="I57" s="37"/>
      <c r="J57" s="37"/>
      <c r="K57" s="37"/>
      <c r="L57" s="37"/>
      <c r="M57" s="37"/>
      <c r="N57" s="37"/>
      <c r="O57" s="37"/>
      <c r="P57" s="10"/>
      <c r="Q57" s="10"/>
      <c r="R57" s="10"/>
      <c r="S57" s="10"/>
      <c r="T57" s="10"/>
      <c r="U57" s="10"/>
      <c r="V57" s="25"/>
    </row>
    <row r="58" spans="2:21" s="25" customFormat="1" ht="12.75" customHeight="1">
      <c r="B58" s="10" t="s">
        <v>14</v>
      </c>
      <c r="C58" s="39"/>
      <c r="D58" s="119"/>
      <c r="E58" s="120"/>
      <c r="F58" s="10"/>
      <c r="G58" s="10"/>
      <c r="H58" s="10"/>
      <c r="I58" s="37"/>
      <c r="J58" s="37"/>
      <c r="K58" s="37"/>
      <c r="L58" s="37"/>
      <c r="M58" s="37"/>
      <c r="N58" s="37"/>
      <c r="O58" s="37"/>
      <c r="P58" s="10"/>
      <c r="Q58" s="10"/>
      <c r="R58" s="10"/>
      <c r="S58" s="10"/>
      <c r="T58" s="10"/>
      <c r="U58" s="10"/>
    </row>
    <row r="59" spans="1:21" s="25" customFormat="1" ht="9.75" customHeight="1">
      <c r="A59" s="121"/>
      <c r="B59" s="122" t="s">
        <v>20</v>
      </c>
      <c r="C59" s="10"/>
      <c r="D59" s="10"/>
      <c r="E59" s="123"/>
      <c r="F59" s="123"/>
      <c r="G59" s="123"/>
      <c r="H59" s="124"/>
      <c r="I59" s="38"/>
      <c r="J59" s="38"/>
      <c r="K59" s="38"/>
      <c r="L59" s="38"/>
      <c r="M59" s="38"/>
      <c r="N59" s="38"/>
      <c r="O59" s="38"/>
      <c r="P59" s="10"/>
      <c r="Q59" s="10"/>
      <c r="R59" s="10"/>
      <c r="S59" s="10"/>
      <c r="T59" s="10"/>
      <c r="U59" s="10"/>
    </row>
    <row r="60" spans="2:21" s="25" customFormat="1" ht="12.75">
      <c r="B60" s="39"/>
      <c r="C60" s="10"/>
      <c r="D60" s="115"/>
      <c r="E60" s="38"/>
      <c r="F60" s="38"/>
      <c r="G60" s="38"/>
      <c r="H60" s="38"/>
      <c r="I60" s="35"/>
      <c r="J60" s="35"/>
      <c r="K60" s="35"/>
      <c r="L60" s="35"/>
      <c r="M60" s="35"/>
      <c r="N60" s="35"/>
      <c r="O60" s="35"/>
      <c r="P60" s="10"/>
      <c r="Q60" s="10"/>
      <c r="R60" s="10"/>
      <c r="S60" s="10"/>
      <c r="T60" s="10"/>
      <c r="U60" s="10"/>
    </row>
    <row r="61" spans="2:21" s="25" customFormat="1" ht="12.75">
      <c r="B61" s="10"/>
      <c r="C61" s="10"/>
      <c r="D61" s="115"/>
      <c r="E61" s="38"/>
      <c r="F61" s="38"/>
      <c r="G61" s="38"/>
      <c r="H61" s="38"/>
      <c r="I61" s="35"/>
      <c r="J61" s="35"/>
      <c r="K61" s="35"/>
      <c r="L61" s="35"/>
      <c r="M61" s="35"/>
      <c r="N61" s="35"/>
      <c r="O61" s="35"/>
      <c r="P61" s="10"/>
      <c r="Q61" s="10"/>
      <c r="R61" s="10"/>
      <c r="S61" s="10"/>
      <c r="T61" s="10"/>
      <c r="U61" s="10"/>
    </row>
    <row r="62" spans="2:21" s="25" customFormat="1" ht="12.75">
      <c r="B62" s="10"/>
      <c r="C62" s="10"/>
      <c r="D62" s="115"/>
      <c r="E62" s="38"/>
      <c r="F62" s="38"/>
      <c r="G62" s="38"/>
      <c r="H62" s="38"/>
      <c r="I62" s="35"/>
      <c r="J62" s="35"/>
      <c r="K62" s="35"/>
      <c r="L62" s="35"/>
      <c r="M62" s="35"/>
      <c r="N62" s="35"/>
      <c r="O62" s="35"/>
      <c r="P62" s="10"/>
      <c r="Q62" s="10"/>
      <c r="R62" s="10"/>
      <c r="S62" s="10"/>
      <c r="T62" s="10"/>
      <c r="U62" s="10"/>
    </row>
    <row r="63" spans="2:21" s="25" customFormat="1" ht="12.75">
      <c r="B63" s="10"/>
      <c r="C63" s="10"/>
      <c r="D63" s="115"/>
      <c r="E63" s="38"/>
      <c r="F63" s="38"/>
      <c r="G63" s="38"/>
      <c r="H63" s="38"/>
      <c r="I63" s="35"/>
      <c r="J63" s="35"/>
      <c r="K63" s="35"/>
      <c r="L63" s="35"/>
      <c r="M63" s="35"/>
      <c r="N63" s="35"/>
      <c r="O63" s="35"/>
      <c r="P63" s="10"/>
      <c r="Q63" s="10"/>
      <c r="R63" s="10"/>
      <c r="S63" s="10"/>
      <c r="T63" s="10"/>
      <c r="U63" s="10"/>
    </row>
    <row r="64" spans="2:21" s="25" customFormat="1" ht="12.75">
      <c r="B64" s="10"/>
      <c r="C64" s="10"/>
      <c r="D64" s="115"/>
      <c r="E64" s="38"/>
      <c r="F64" s="125"/>
      <c r="G64" s="125"/>
      <c r="H64" s="125"/>
      <c r="I64" s="35"/>
      <c r="J64" s="35"/>
      <c r="K64" s="35"/>
      <c r="L64" s="35"/>
      <c r="M64" s="35"/>
      <c r="N64" s="35"/>
      <c r="O64" s="35"/>
      <c r="P64" s="10"/>
      <c r="Q64" s="10"/>
      <c r="R64" s="10"/>
      <c r="S64" s="10"/>
      <c r="T64" s="10"/>
      <c r="U64" s="10"/>
    </row>
    <row r="65" spans="1:21" s="25" customFormat="1" ht="17.25">
      <c r="A65" s="121"/>
      <c r="B65" s="121"/>
      <c r="C65" s="126"/>
      <c r="D65" s="126"/>
      <c r="E65" s="126"/>
      <c r="F65" s="126"/>
      <c r="G65" s="126"/>
      <c r="H65" s="126"/>
      <c r="I65" s="39"/>
      <c r="J65" s="39"/>
      <c r="K65" s="39"/>
      <c r="L65" s="39"/>
      <c r="M65" s="39"/>
      <c r="N65" s="39"/>
      <c r="O65" s="39"/>
      <c r="P65" s="10"/>
      <c r="Q65" s="10"/>
      <c r="R65" s="10"/>
      <c r="S65" s="10"/>
      <c r="T65" s="10"/>
      <c r="U65" s="10"/>
    </row>
    <row r="66" spans="2:21" s="25" customFormat="1" ht="12.75">
      <c r="B66" s="10"/>
      <c r="C66" s="10"/>
      <c r="D66" s="115"/>
      <c r="E66" s="38"/>
      <c r="F66" s="38"/>
      <c r="G66" s="38"/>
      <c r="H66" s="38"/>
      <c r="I66" s="35"/>
      <c r="J66" s="35"/>
      <c r="K66" s="35"/>
      <c r="L66" s="35"/>
      <c r="M66" s="35"/>
      <c r="N66" s="35"/>
      <c r="O66" s="35"/>
      <c r="P66" s="10"/>
      <c r="Q66" s="10"/>
      <c r="R66" s="10"/>
      <c r="S66" s="10"/>
      <c r="T66" s="10"/>
      <c r="U66" s="10"/>
    </row>
    <row r="67" spans="2:21" s="25" customFormat="1" ht="12.75">
      <c r="B67" s="10"/>
      <c r="C67" s="10"/>
      <c r="D67" s="115"/>
      <c r="E67" s="38"/>
      <c r="F67" s="38"/>
      <c r="G67" s="38"/>
      <c r="H67" s="38"/>
      <c r="I67" s="35"/>
      <c r="J67" s="35"/>
      <c r="K67" s="35"/>
      <c r="L67" s="35"/>
      <c r="M67" s="35"/>
      <c r="N67" s="35"/>
      <c r="O67" s="35"/>
      <c r="P67" s="10"/>
      <c r="Q67" s="10"/>
      <c r="R67" s="10"/>
      <c r="S67" s="10"/>
      <c r="T67" s="10"/>
      <c r="U67" s="10"/>
    </row>
    <row r="68" spans="2:21" s="25" customFormat="1" ht="12.75">
      <c r="B68" s="10"/>
      <c r="C68" s="10"/>
      <c r="D68" s="115"/>
      <c r="E68" s="38"/>
      <c r="F68" s="38"/>
      <c r="G68" s="38"/>
      <c r="H68" s="38"/>
      <c r="I68" s="35"/>
      <c r="J68" s="35"/>
      <c r="K68" s="35"/>
      <c r="L68" s="35"/>
      <c r="M68" s="35"/>
      <c r="N68" s="35"/>
      <c r="O68" s="35"/>
      <c r="P68" s="10"/>
      <c r="Q68" s="10"/>
      <c r="R68" s="10"/>
      <c r="S68" s="10"/>
      <c r="T68" s="10"/>
      <c r="U68" s="10"/>
    </row>
    <row r="69" spans="1:21" s="25" customFormat="1" ht="17.25">
      <c r="A69" s="127"/>
      <c r="B69" s="10"/>
      <c r="C69" s="10"/>
      <c r="D69" s="10"/>
      <c r="E69" s="124"/>
      <c r="F69" s="124"/>
      <c r="G69" s="124"/>
      <c r="H69" s="124"/>
      <c r="I69" s="38"/>
      <c r="J69" s="38"/>
      <c r="K69" s="38"/>
      <c r="L69" s="38"/>
      <c r="M69" s="38"/>
      <c r="N69" s="38"/>
      <c r="O69" s="38"/>
      <c r="P69" s="10"/>
      <c r="Q69" s="10"/>
      <c r="R69" s="10"/>
      <c r="S69" s="10"/>
      <c r="T69" s="10"/>
      <c r="U69" s="10"/>
    </row>
    <row r="70" spans="2:21" s="25" customFormat="1" ht="12.75">
      <c r="B70" s="10"/>
      <c r="C70" s="10"/>
      <c r="D70" s="115"/>
      <c r="E70" s="116"/>
      <c r="F70" s="128"/>
      <c r="G70" s="128"/>
      <c r="H70" s="128"/>
      <c r="I70" s="35"/>
      <c r="J70" s="35"/>
      <c r="K70" s="35"/>
      <c r="L70" s="35"/>
      <c r="M70" s="35"/>
      <c r="N70" s="35"/>
      <c r="O70" s="35"/>
      <c r="P70" s="10"/>
      <c r="Q70" s="10"/>
      <c r="R70" s="10"/>
      <c r="S70" s="10"/>
      <c r="T70" s="10"/>
      <c r="U70" s="10"/>
    </row>
    <row r="71" spans="2:21" s="25" customFormat="1" ht="12.75">
      <c r="B71" s="10"/>
      <c r="C71" s="10"/>
      <c r="D71" s="115"/>
      <c r="E71" s="116"/>
      <c r="F71" s="128"/>
      <c r="G71" s="128"/>
      <c r="H71" s="128"/>
      <c r="I71" s="35"/>
      <c r="J71" s="35"/>
      <c r="K71" s="35"/>
      <c r="L71" s="35"/>
      <c r="M71" s="35"/>
      <c r="N71" s="35"/>
      <c r="O71" s="35"/>
      <c r="P71" s="10"/>
      <c r="Q71" s="10"/>
      <c r="R71" s="10"/>
      <c r="S71" s="10"/>
      <c r="T71" s="10"/>
      <c r="U71" s="10"/>
    </row>
    <row r="72" spans="2:21" s="25" customFormat="1" ht="12.75">
      <c r="B72" s="10"/>
      <c r="C72" s="10"/>
      <c r="D72" s="115"/>
      <c r="E72" s="116"/>
      <c r="F72" s="128"/>
      <c r="G72" s="128"/>
      <c r="H72" s="128"/>
      <c r="I72" s="35"/>
      <c r="J72" s="35"/>
      <c r="K72" s="35"/>
      <c r="L72" s="35"/>
      <c r="M72" s="35"/>
      <c r="N72" s="35"/>
      <c r="O72" s="35"/>
      <c r="P72" s="10"/>
      <c r="Q72" s="10"/>
      <c r="R72" s="10"/>
      <c r="S72" s="10"/>
      <c r="T72" s="10"/>
      <c r="U72" s="10"/>
    </row>
    <row r="73" spans="1:21" s="25" customFormat="1" ht="17.25">
      <c r="A73" s="121"/>
      <c r="B73" s="121"/>
      <c r="C73" s="121"/>
      <c r="D73" s="121"/>
      <c r="E73" s="121"/>
      <c r="F73" s="121"/>
      <c r="G73" s="121"/>
      <c r="H73" s="129"/>
      <c r="I73" s="13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2:21" s="25" customFormat="1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2:21" s="25" customFormat="1" ht="12.75">
      <c r="B75" s="10"/>
      <c r="C75" s="10"/>
      <c r="D75" s="115"/>
      <c r="E75" s="116"/>
      <c r="F75" s="116"/>
      <c r="G75" s="116"/>
      <c r="H75" s="116"/>
      <c r="I75" s="35"/>
      <c r="J75" s="35"/>
      <c r="K75" s="35"/>
      <c r="L75" s="35"/>
      <c r="M75" s="35"/>
      <c r="N75" s="117"/>
      <c r="O75" s="117"/>
      <c r="P75" s="10"/>
      <c r="Q75" s="10"/>
      <c r="R75" s="10"/>
      <c r="S75" s="10"/>
      <c r="T75" s="10"/>
      <c r="U75" s="10"/>
    </row>
    <row r="76" spans="2:21" s="25" customFormat="1" ht="12.75">
      <c r="B76" s="10"/>
      <c r="C76" s="10"/>
      <c r="D76" s="39"/>
      <c r="E76" s="10"/>
      <c r="F76" s="10"/>
      <c r="G76" s="10"/>
      <c r="H76" s="10"/>
      <c r="I76" s="36"/>
      <c r="J76" s="36"/>
      <c r="K76" s="36"/>
      <c r="L76" s="36"/>
      <c r="M76" s="36"/>
      <c r="N76" s="36"/>
      <c r="O76" s="36"/>
      <c r="P76" s="10"/>
      <c r="Q76" s="10"/>
      <c r="R76" s="10"/>
      <c r="T76" s="10"/>
      <c r="U76" s="10"/>
    </row>
    <row r="77" s="25" customFormat="1" ht="12.75">
      <c r="S77" s="8"/>
    </row>
  </sheetData>
  <sheetProtection/>
  <mergeCells count="2">
    <mergeCell ref="C5:P5"/>
    <mergeCell ref="B10:U10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Артем</cp:lastModifiedBy>
  <cp:lastPrinted>2020-01-10T13:14:05Z</cp:lastPrinted>
  <dcterms:created xsi:type="dcterms:W3CDTF">2000-01-05T08:20:30Z</dcterms:created>
  <dcterms:modified xsi:type="dcterms:W3CDTF">2020-04-14T06:21:25Z</dcterms:modified>
  <cp:category/>
  <cp:version/>
  <cp:contentType/>
  <cp:contentStatus/>
</cp:coreProperties>
</file>