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3" activeTab="4"/>
  </bookViews>
  <sheets>
    <sheet name="муниципалы на 01.02.20г." sheetId="1" state="hidden" r:id="rId1"/>
    <sheet name="муниципалы на 01.06.20г. " sheetId="2" r:id="rId2"/>
    <sheet name="муниципалы на 01.07.20г.  " sheetId="3" r:id="rId3"/>
    <sheet name="муниципалы на 01.08.20г." sheetId="4" r:id="rId4"/>
    <sheet name="муниципалы на 01.09.20г. " sheetId="5" r:id="rId5"/>
    <sheet name="муниципалы на 01.10.20г." sheetId="6" state="hidden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<sst xmlns="http://schemas.openxmlformats.org/spreadsheetml/2006/main" count="1011" uniqueCount="106">
  <si>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</si>
  <si>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</si>
  <si>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</si>
  <si>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</si>
  <si>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</si>
  <si>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</si>
  <si>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</si>
  <si>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</si>
  <si>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</si>
  <si>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</si>
  <si>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</si>
  <si>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</si>
  <si>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</si>
  <si>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</si>
  <si>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</si>
  <si>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</si>
  <si>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</si>
  <si>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</si>
  <si>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</si>
  <si>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</si>
  <si>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</si>
  <si>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</si>
  <si>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</si>
  <si>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</si>
  <si>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</si>
  <si>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</si>
  <si>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</si>
  <si>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</si>
  <si>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</si>
  <si>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</si>
  <si>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</si>
  <si>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</si>
  <si>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</si>
  <si>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</si>
  <si>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</si>
  <si>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</si>
  <si>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</si>
  <si>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</si>
  <si>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</si>
  <si>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</si>
  <si>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</si>
  <si>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</si>
  <si>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</si>
  <si>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</si>
  <si>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</si>
  <si>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</si>
  <si>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</si>
  <si>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</si>
  <si>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</si>
  <si>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</si>
  <si>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</si>
  <si>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</si>
  <si>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</si>
  <si>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</si>
  <si>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</si>
  <si>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</si>
  <si>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</si>
  <si>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</si>
  <si>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</si>
  <si>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</si>
  <si>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</si>
  <si>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</si>
  <si>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</si>
  <si>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</si>
  <si>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</si>
  <si>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</si>
  <si>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</si>
  <si>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</si>
  <si>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</si>
  <si>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</si>
  <si>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</si>
  <si>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</si>
  <si>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</si>
  <si>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</si>
  <si>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</si>
  <si>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</si>
  <si>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</si>
  <si>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</si>
  <si>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</si>
  <si>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</si>
  <si>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</si>
  <si>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</si>
  <si>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Олонецкого национального муниципального района на 01.06.2020г.</t>
  </si>
  <si>
    <t>Объем муниципального долга  на 1.06.2020г.</t>
  </si>
  <si>
    <t>Объем задолженности по процентам на 1.06.2020г.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</si>
  <si>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</si>
  <si>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</si>
  <si>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</si>
  <si>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Олонецкого национального муниципального района на 01.07.2020г.</t>
  </si>
  <si>
    <t>Объем муниципального долга  на 1.07.2020г.</t>
  </si>
  <si>
    <t>Объем задолженности по процентам на 1.07.2020г.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</si>
  <si>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</si>
  <si>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</si>
  <si>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</si>
  <si>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</si>
  <si>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</si>
  <si>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Олонецкого национального муниципального района на 01.08.2020г.</t>
  </si>
  <si>
    <t>Объем муниципального долга  на 1.08.2020г.</t>
  </si>
  <si>
    <t>Объем задолженности по процентам на 1.08.2020г.</t>
  </si>
  <si>
    <t>Олонецкого национального муниципального района на 01.09.2020г.</t>
  </si>
  <si>
    <t>Объем муниципального долга  на 1.09.2020г.</t>
  </si>
  <si>
    <t>Объем задолженности по процентам на 1.09.2020г.</t>
  </si>
  <si>
    <t>Олонецкого национального муниципального района на 01.10.2020г.</t>
  </si>
  <si>
    <t>16.07.2020г.</t>
  </si>
  <si>
    <t>Объем муниципального долга  на 1.10.2020г.</t>
  </si>
  <si>
    <t>Объем задолженности по процентам на 1.10.2020г.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</si>
</sst>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06" t="s">
        <v>32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29</v>
      </c>
      <c r="K10" s="114" t="s">
        <v>23</v>
      </c>
      <c r="L10" s="114" t="s">
        <v>24</v>
      </c>
      <c r="M10" s="114" t="s">
        <v>25</v>
      </c>
      <c r="N10" s="114" t="s">
        <v>26</v>
      </c>
      <c r="O10" s="120" t="s">
        <v>22</v>
      </c>
      <c r="P10" s="121"/>
      <c r="Q10" s="114" t="s">
        <v>15</v>
      </c>
      <c r="R10" s="114" t="s">
        <v>16</v>
      </c>
      <c r="S10" s="114" t="s">
        <v>8</v>
      </c>
      <c r="T10" s="114" t="s">
        <v>30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40" t="s">
        <v>4</v>
      </c>
      <c r="P11" s="40" t="s">
        <v>5</v>
      </c>
      <c r="Q11" s="115"/>
      <c r="R11" s="115"/>
      <c r="S11" s="115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07" t="s">
        <v>20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07" t="s">
        <v>27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22" t="s">
        <v>31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4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18" t="s">
        <v>73</v>
      </c>
      <c r="H45" s="119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6">
      <pane ySplit="3195" topLeftCell="A37" activePane="bottomLeft" state="split"/>
      <selection pane="topLeft" activeCell="J10" sqref="J10:J11"/>
      <selection pane="bottomLeft" activeCell="L69" sqref="L6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82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14" t="s">
        <v>24</v>
      </c>
      <c r="M10" s="114" t="s">
        <v>25</v>
      </c>
      <c r="N10" s="114" t="s">
        <v>26</v>
      </c>
      <c r="O10" s="120" t="s">
        <v>83</v>
      </c>
      <c r="P10" s="121"/>
      <c r="Q10" s="114" t="s">
        <v>15</v>
      </c>
      <c r="R10" s="114" t="s">
        <v>16</v>
      </c>
      <c r="S10" s="114" t="s">
        <v>8</v>
      </c>
      <c r="T10" s="114" t="s">
        <v>84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40" t="s">
        <v>4</v>
      </c>
      <c r="P11" s="40" t="s">
        <v>5</v>
      </c>
      <c r="Q11" s="115"/>
      <c r="R11" s="115"/>
      <c r="S11" s="115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63">
        <v>36756000</v>
      </c>
      <c r="E17" s="53" t="s">
        <v>36</v>
      </c>
      <c r="F17" s="63">
        <f aca="true" t="shared" si="0" ref="F17:F22">O17</f>
        <v>16392000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v>3272000</v>
      </c>
      <c r="O17" s="62">
        <f aca="true" t="shared" si="1" ref="O17:O22">J17+L17-N17</f>
        <v>16392000</v>
      </c>
      <c r="P17" s="66"/>
      <c r="Q17" s="66"/>
      <c r="R17" s="66"/>
      <c r="S17" s="66"/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63">
        <v>20000000</v>
      </c>
      <c r="E18" s="53" t="s">
        <v>36</v>
      </c>
      <c r="F18" s="6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62">
        <v>3578000</v>
      </c>
      <c r="O18" s="62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63">
        <v>1400000</v>
      </c>
      <c r="E19" s="53" t="s">
        <v>36</v>
      </c>
      <c r="F19" s="63">
        <f t="shared" si="0"/>
        <v>112000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/>
      <c r="N19" s="62">
        <v>230000</v>
      </c>
      <c r="O19" s="62">
        <f t="shared" si="1"/>
        <v>112000</v>
      </c>
      <c r="P19" s="66"/>
      <c r="Q19" s="66"/>
      <c r="R19" s="66">
        <v>36.8</v>
      </c>
      <c r="S19" s="66">
        <v>36.8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63">
        <v>10000000</v>
      </c>
      <c r="E20" s="53" t="s">
        <v>36</v>
      </c>
      <c r="F20" s="63">
        <f t="shared" si="0"/>
        <v>2080000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v>1480000</v>
      </c>
      <c r="O20" s="62">
        <f t="shared" si="1"/>
        <v>2080000</v>
      </c>
      <c r="P20" s="66"/>
      <c r="Q20" s="66"/>
      <c r="R20" s="66">
        <v>236.8</v>
      </c>
      <c r="S20" s="66">
        <v>236.8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63">
        <v>2500000</v>
      </c>
      <c r="E21" s="53" t="s">
        <v>36</v>
      </c>
      <c r="F21" s="6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/>
      <c r="S21" s="66"/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63">
        <v>12340000</v>
      </c>
      <c r="E22" s="53" t="s">
        <v>36</v>
      </c>
      <c r="F22" s="63">
        <f t="shared" si="0"/>
        <v>11556000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v>784000</v>
      </c>
      <c r="O22" s="62">
        <f t="shared" si="1"/>
        <v>11556000</v>
      </c>
      <c r="P22" s="66"/>
      <c r="Q22" s="66"/>
      <c r="R22" s="66"/>
      <c r="S22" s="66"/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32640000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64">
        <f>L17+L18+L19+L20+L21+L22</f>
        <v>0</v>
      </c>
      <c r="M23" s="24" t="s">
        <v>7</v>
      </c>
      <c r="N23" s="64">
        <f aca="true" t="shared" si="3" ref="N23:T23">N17+N18+N19+N20+N21+N22</f>
        <v>9344000</v>
      </c>
      <c r="O23" s="64">
        <f t="shared" si="3"/>
        <v>32640000</v>
      </c>
      <c r="P23" s="64">
        <f t="shared" si="3"/>
        <v>0</v>
      </c>
      <c r="Q23" s="64">
        <f t="shared" si="3"/>
        <v>0</v>
      </c>
      <c r="R23" s="64">
        <f t="shared" si="3"/>
        <v>15909.169999999998</v>
      </c>
      <c r="S23" s="64">
        <f t="shared" si="3"/>
        <v>15909.169999999998</v>
      </c>
      <c r="T23" s="64">
        <f t="shared" si="3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63">
        <v>10000000</v>
      </c>
      <c r="E25" s="53" t="s">
        <v>36</v>
      </c>
      <c r="F25" s="6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0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0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63">
        <v>16000000</v>
      </c>
      <c r="E26" s="53" t="s">
        <v>36</v>
      </c>
      <c r="F26" s="63">
        <f t="shared" si="4"/>
        <v>16000000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55"/>
      <c r="N26" s="63"/>
      <c r="O26" s="62">
        <f t="shared" si="5"/>
        <v>16000000</v>
      </c>
      <c r="P26" s="62"/>
      <c r="Q26" s="62"/>
      <c r="R26" s="62">
        <v>634555.89</v>
      </c>
      <c r="S26" s="62">
        <v>634555.89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63">
        <v>15000000</v>
      </c>
      <c r="E27" s="53" t="s">
        <v>36</v>
      </c>
      <c r="F27" s="6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v>594742.01</v>
      </c>
      <c r="S27" s="62">
        <v>594742.01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v>174028.42</v>
      </c>
      <c r="S28" s="62">
        <v>174028.42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63">
        <v>10000000</v>
      </c>
      <c r="E29" s="53" t="s">
        <v>36</v>
      </c>
      <c r="F29" s="6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66">
        <v>10000000</v>
      </c>
      <c r="M29" s="55"/>
      <c r="N29" s="63"/>
      <c r="O29" s="62">
        <f t="shared" si="5"/>
        <v>10000000</v>
      </c>
      <c r="P29" s="62"/>
      <c r="Q29" s="62"/>
      <c r="R29" s="62">
        <v>171291.76</v>
      </c>
      <c r="S29" s="62">
        <v>171291.76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63">
        <v>10000000</v>
      </c>
      <c r="E30" s="53" t="s">
        <v>36</v>
      </c>
      <c r="F30" s="6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66">
        <v>10000000</v>
      </c>
      <c r="M30" s="55"/>
      <c r="N30" s="63"/>
      <c r="O30" s="62">
        <f t="shared" si="5"/>
        <v>10000000</v>
      </c>
      <c r="P30" s="62"/>
      <c r="Q30" s="62"/>
      <c r="R30" s="62">
        <v>33442.62</v>
      </c>
      <c r="S30" s="62">
        <v>33442.62</v>
      </c>
      <c r="T30" s="67">
        <f t="shared" si="6"/>
        <v>0</v>
      </c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64">
        <f>F25+F26+F27+F28+F29+F30</f>
        <v>56600000</v>
      </c>
      <c r="G31" s="24" t="s">
        <v>7</v>
      </c>
      <c r="H31" s="24" t="s">
        <v>7</v>
      </c>
      <c r="I31" s="24" t="s">
        <v>7</v>
      </c>
      <c r="J31" s="64">
        <f>J25+J26+J27+J28+J29+J30</f>
        <v>45300000</v>
      </c>
      <c r="K31" s="24" t="s">
        <v>7</v>
      </c>
      <c r="L31" s="64">
        <f>L25+L26+L27+L28+L29+L30</f>
        <v>20000000</v>
      </c>
      <c r="M31" s="24" t="s">
        <v>7</v>
      </c>
      <c r="N31" s="64">
        <f aca="true" t="shared" si="7" ref="N31:T31">N25+N26+N27+N28+N29+N30</f>
        <v>8700000</v>
      </c>
      <c r="O31" s="64">
        <f t="shared" si="7"/>
        <v>56600000</v>
      </c>
      <c r="P31" s="64">
        <f t="shared" si="7"/>
        <v>0</v>
      </c>
      <c r="Q31" s="64">
        <f t="shared" si="7"/>
        <v>0</v>
      </c>
      <c r="R31" s="64">
        <f t="shared" si="7"/>
        <v>1681889.56</v>
      </c>
      <c r="S31" s="64">
        <f t="shared" si="7"/>
        <v>1681889.56</v>
      </c>
      <c r="T31" s="64">
        <f t="shared" si="7"/>
        <v>0</v>
      </c>
    </row>
    <row r="32" spans="1:20" s="3" customFormat="1" ht="18.75" customHeight="1">
      <c r="A32" s="107" t="s">
        <v>20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07" t="s">
        <v>27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22" t="s">
        <v>31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4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64">
        <f>F23+F31</f>
        <v>89240000</v>
      </c>
      <c r="G39" s="24" t="s">
        <v>7</v>
      </c>
      <c r="H39" s="24" t="s">
        <v>7</v>
      </c>
      <c r="I39" s="24" t="s">
        <v>7</v>
      </c>
      <c r="J39" s="64">
        <f>J23+J31</f>
        <v>87284000</v>
      </c>
      <c r="K39" s="24" t="s">
        <v>7</v>
      </c>
      <c r="L39" s="64">
        <f>L23+L31</f>
        <v>20000000</v>
      </c>
      <c r="M39" s="24" t="s">
        <v>7</v>
      </c>
      <c r="N39" s="64">
        <f>N23+N31</f>
        <v>18044000</v>
      </c>
      <c r="O39" s="64">
        <f aca="true" t="shared" si="8" ref="O39:T39">O23+O31</f>
        <v>89240000</v>
      </c>
      <c r="P39" s="64">
        <f t="shared" si="8"/>
        <v>0</v>
      </c>
      <c r="Q39" s="64">
        <f t="shared" si="8"/>
        <v>0</v>
      </c>
      <c r="R39" s="64">
        <f t="shared" si="8"/>
        <v>1697798.73</v>
      </c>
      <c r="S39" s="64">
        <f t="shared" si="8"/>
        <v>1697798.73</v>
      </c>
      <c r="T39" s="64">
        <f t="shared" si="8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26.25" customHeight="1">
      <c r="A41" s="36" t="s">
        <v>87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25.5" customHeight="1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20.25" customHeight="1">
      <c r="A45" s="36" t="s">
        <v>71</v>
      </c>
      <c r="B45" s="37"/>
      <c r="C45" s="37"/>
      <c r="D45" s="38"/>
      <c r="E45" s="38"/>
      <c r="F45" s="38"/>
      <c r="G45" s="118" t="s">
        <v>73</v>
      </c>
      <c r="H45" s="119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A24:T24"/>
    <mergeCell ref="A32:T32"/>
    <mergeCell ref="A35:T35"/>
    <mergeCell ref="A38:T38"/>
    <mergeCell ref="G45:H45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F15">
      <pane ySplit="3195" topLeftCell="A1" activePane="bottomLeft" state="split"/>
      <selection pane="topLeft" activeCell="S30" sqref="S30"/>
      <selection pane="bottomLeft" activeCell="D62" sqref="D62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88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14" t="s">
        <v>24</v>
      </c>
      <c r="M10" s="114" t="s">
        <v>25</v>
      </c>
      <c r="N10" s="114" t="s">
        <v>26</v>
      </c>
      <c r="O10" s="120" t="s">
        <v>89</v>
      </c>
      <c r="P10" s="121"/>
      <c r="Q10" s="114" t="s">
        <v>15</v>
      </c>
      <c r="R10" s="114" t="s">
        <v>16</v>
      </c>
      <c r="S10" s="114" t="s">
        <v>8</v>
      </c>
      <c r="T10" s="114" t="s">
        <v>90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40" t="s">
        <v>4</v>
      </c>
      <c r="P11" s="40" t="s">
        <v>5</v>
      </c>
      <c r="Q11" s="115"/>
      <c r="R11" s="115"/>
      <c r="S11" s="115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15574000</v>
      </c>
      <c r="G17" s="55" t="s">
        <v>37</v>
      </c>
      <c r="H17" s="56" t="s">
        <v>38</v>
      </c>
      <c r="I17" s="57" t="s">
        <v>39</v>
      </c>
      <c r="J17" s="74">
        <v>19664000</v>
      </c>
      <c r="K17" s="57" t="s">
        <v>40</v>
      </c>
      <c r="L17" s="66"/>
      <c r="M17" s="61"/>
      <c r="N17" s="58">
        <f>3272000+818000</f>
        <v>4090000</v>
      </c>
      <c r="O17" s="58">
        <f aca="true" t="shared" si="1" ref="O17:O22">J17+L17-N17</f>
        <v>15574000</v>
      </c>
      <c r="P17" s="66"/>
      <c r="Q17" s="66"/>
      <c r="R17" s="66">
        <v>8933.46</v>
      </c>
      <c r="S17" s="66"/>
      <c r="T17" s="68">
        <f aca="true" t="shared" si="2" ref="T17:T22">Q17+R17-S17</f>
        <v>8933.46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73">
        <v>3578000</v>
      </c>
      <c r="K18" s="55" t="s">
        <v>44</v>
      </c>
      <c r="L18" s="66"/>
      <c r="M18" s="61" t="s">
        <v>79</v>
      </c>
      <c r="N18" s="69">
        <v>3578000</v>
      </c>
      <c r="O18" s="69">
        <f t="shared" si="1"/>
        <v>0</v>
      </c>
      <c r="P18" s="66"/>
      <c r="Q18" s="66"/>
      <c r="R18" s="71">
        <v>15635.57</v>
      </c>
      <c r="S18" s="71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66000</v>
      </c>
      <c r="G19" s="55" t="s">
        <v>47</v>
      </c>
      <c r="H19" s="56" t="s">
        <v>42</v>
      </c>
      <c r="I19" s="57" t="s">
        <v>43</v>
      </c>
      <c r="J19" s="73">
        <v>342000</v>
      </c>
      <c r="K19" s="55" t="s">
        <v>48</v>
      </c>
      <c r="L19" s="66"/>
      <c r="M19" s="55"/>
      <c r="N19" s="69">
        <f>230000+46000</f>
        <v>276000</v>
      </c>
      <c r="O19" s="69">
        <f t="shared" si="1"/>
        <v>66000</v>
      </c>
      <c r="P19" s="66"/>
      <c r="Q19" s="66"/>
      <c r="R19" s="71">
        <f>36.8+2021.78</f>
        <v>2058.58</v>
      </c>
      <c r="S19" s="71">
        <v>36.8</v>
      </c>
      <c r="T19" s="68">
        <f t="shared" si="2"/>
        <v>2021.78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1784000</v>
      </c>
      <c r="G20" s="55" t="s">
        <v>50</v>
      </c>
      <c r="H20" s="56" t="s">
        <v>38</v>
      </c>
      <c r="I20" s="57" t="s">
        <v>43</v>
      </c>
      <c r="J20" s="73">
        <v>3560000</v>
      </c>
      <c r="K20" s="55" t="s">
        <v>51</v>
      </c>
      <c r="L20" s="66"/>
      <c r="M20" s="55"/>
      <c r="N20" s="69">
        <f>1480000+296000</f>
        <v>1776000</v>
      </c>
      <c r="O20" s="69">
        <f t="shared" si="1"/>
        <v>1784000</v>
      </c>
      <c r="P20" s="66"/>
      <c r="Q20" s="66"/>
      <c r="R20" s="71">
        <f>236.8+26137.39</f>
        <v>26374.19</v>
      </c>
      <c r="S20" s="71">
        <v>236.8</v>
      </c>
      <c r="T20" s="68">
        <f t="shared" si="2"/>
        <v>26137.39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73">
        <v>2500000</v>
      </c>
      <c r="K21" s="55" t="s">
        <v>55</v>
      </c>
      <c r="L21" s="66"/>
      <c r="M21" s="55"/>
      <c r="N21" s="69"/>
      <c r="O21" s="69">
        <f t="shared" si="1"/>
        <v>2500000</v>
      </c>
      <c r="P21" s="66"/>
      <c r="Q21" s="66"/>
      <c r="R21" s="71">
        <v>24143.99</v>
      </c>
      <c r="S21" s="66"/>
      <c r="T21" s="68">
        <f t="shared" si="2"/>
        <v>24143.99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10256000</v>
      </c>
      <c r="G22" s="55" t="s">
        <v>37</v>
      </c>
      <c r="H22" s="56" t="s">
        <v>54</v>
      </c>
      <c r="I22" s="57" t="s">
        <v>39</v>
      </c>
      <c r="J22" s="73">
        <v>12340000</v>
      </c>
      <c r="K22" s="55" t="s">
        <v>57</v>
      </c>
      <c r="L22" s="66"/>
      <c r="M22" s="55"/>
      <c r="N22" s="69">
        <f>784000+1300000</f>
        <v>2084000</v>
      </c>
      <c r="O22" s="69">
        <f t="shared" si="1"/>
        <v>10256000</v>
      </c>
      <c r="P22" s="66"/>
      <c r="Q22" s="66"/>
      <c r="R22" s="66">
        <v>5891.63</v>
      </c>
      <c r="S22" s="66"/>
      <c r="T22" s="68">
        <f t="shared" si="2"/>
        <v>5891.63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30180000</v>
      </c>
      <c r="G23" s="24" t="s">
        <v>7</v>
      </c>
      <c r="H23" s="24" t="s">
        <v>7</v>
      </c>
      <c r="I23" s="24" t="s">
        <v>7</v>
      </c>
      <c r="J23" s="72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72">
        <f aca="true" t="shared" si="3" ref="N23:T23">N17+N18+N19+N20+N21+N22</f>
        <v>11804000</v>
      </c>
      <c r="O23" s="72">
        <f t="shared" si="3"/>
        <v>30180000</v>
      </c>
      <c r="P23" s="72">
        <f t="shared" si="3"/>
        <v>0</v>
      </c>
      <c r="Q23" s="72">
        <f t="shared" si="3"/>
        <v>0</v>
      </c>
      <c r="R23" s="72">
        <f t="shared" si="3"/>
        <v>83037.42000000001</v>
      </c>
      <c r="S23" s="72">
        <f t="shared" si="3"/>
        <v>15909.169999999998</v>
      </c>
      <c r="T23" s="72">
        <f t="shared" si="3"/>
        <v>67128.25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73">
        <v>8700000</v>
      </c>
      <c r="K25" s="55" t="s">
        <v>57</v>
      </c>
      <c r="L25" s="66"/>
      <c r="M25" s="55" t="s">
        <v>80</v>
      </c>
      <c r="N25" s="73">
        <v>8700000</v>
      </c>
      <c r="O25" s="69">
        <f aca="true" t="shared" si="5" ref="O25:O31">J25+L25-N25</f>
        <v>0</v>
      </c>
      <c r="P25" s="62"/>
      <c r="Q25" s="62"/>
      <c r="R25" s="69">
        <v>73828.86</v>
      </c>
      <c r="S25" s="69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73">
        <v>16000000</v>
      </c>
      <c r="K26" s="55" t="s">
        <v>66</v>
      </c>
      <c r="L26" s="66"/>
      <c r="M26" s="61" t="s">
        <v>95</v>
      </c>
      <c r="N26" s="73">
        <v>16000000</v>
      </c>
      <c r="O26" s="69">
        <f t="shared" si="5"/>
        <v>0</v>
      </c>
      <c r="P26" s="62"/>
      <c r="Q26" s="62"/>
      <c r="R26" s="69">
        <f>634555.89+76599.34</f>
        <v>711155.23</v>
      </c>
      <c r="S26" s="69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9">
        <f t="shared" si="5"/>
        <v>15000000</v>
      </c>
      <c r="P27" s="62"/>
      <c r="Q27" s="62"/>
      <c r="R27" s="69">
        <f>594742.01+114959.02</f>
        <v>709701.03</v>
      </c>
      <c r="S27" s="69">
        <f>594742.01+114959.02</f>
        <v>709701.03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9">
        <f>174028.42+44585.79</f>
        <v>218614.21000000002</v>
      </c>
      <c r="S28" s="69">
        <f>174028.42+44585.79</f>
        <v>218614.21000000002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9">
        <f t="shared" si="5"/>
        <v>10000000</v>
      </c>
      <c r="P29" s="62"/>
      <c r="Q29" s="62"/>
      <c r="R29" s="69">
        <f>171291.76+57097.25</f>
        <v>228389.01</v>
      </c>
      <c r="S29" s="69">
        <f>171291.76+57097.25</f>
        <v>228389.01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9">
        <f t="shared" si="5"/>
        <v>10000000</v>
      </c>
      <c r="P30" s="62"/>
      <c r="Q30" s="62"/>
      <c r="R30" s="69">
        <f>33442.62+60983.61</f>
        <v>94426.23000000001</v>
      </c>
      <c r="S30" s="69">
        <f>33442.62+60983.61</f>
        <v>94426.23000000001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9">
        <f t="shared" si="5"/>
        <v>26000000</v>
      </c>
      <c r="P31" s="62"/>
      <c r="Q31" s="62"/>
      <c r="R31" s="69">
        <v>66888.91</v>
      </c>
      <c r="S31" s="69">
        <v>66888.91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72">
        <f>J25+J26+J27+J28+J29+J30+J31</f>
        <v>45300000</v>
      </c>
      <c r="K32" s="24" t="s">
        <v>7</v>
      </c>
      <c r="L32" s="72">
        <f>L25+L26+L27+L28+L29+L30+L31</f>
        <v>46000000</v>
      </c>
      <c r="M32" s="24" t="s">
        <v>7</v>
      </c>
      <c r="N32" s="72">
        <f>N25+N26+N27+N28+N29+N30+N31</f>
        <v>24700000</v>
      </c>
      <c r="O32" s="72">
        <f>O25+O26+O27+O28+O29+O30+O31</f>
        <v>66600000</v>
      </c>
      <c r="P32" s="72">
        <f>P25+P26+P27+P28+P29+P30</f>
        <v>0</v>
      </c>
      <c r="Q32" s="72">
        <f>Q25+Q26+Q27+Q28+Q29+Q30</f>
        <v>0</v>
      </c>
      <c r="R32" s="72">
        <f>R25+R26+R27+R28+R29+R30+R31</f>
        <v>2103003.48</v>
      </c>
      <c r="S32" s="72">
        <f>S25+S26+S27+S28+S29+S30+S31</f>
        <v>2103003.48</v>
      </c>
      <c r="T32" s="72">
        <f>T25+T26+T27+T28+T29+T30+T31</f>
        <v>0</v>
      </c>
    </row>
    <row r="33" spans="1:20" s="3" customFormat="1" ht="18.75" customHeight="1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107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96780000</v>
      </c>
      <c r="G40" s="24" t="s">
        <v>7</v>
      </c>
      <c r="H40" s="24" t="s">
        <v>7</v>
      </c>
      <c r="I40" s="24" t="s">
        <v>7</v>
      </c>
      <c r="J40" s="72">
        <f>J23+J32</f>
        <v>87284000</v>
      </c>
      <c r="K40" s="24" t="s">
        <v>7</v>
      </c>
      <c r="L40" s="72">
        <f>L23+L32</f>
        <v>46000000</v>
      </c>
      <c r="M40" s="24" t="s">
        <v>7</v>
      </c>
      <c r="N40" s="72">
        <f>N23+N32</f>
        <v>36504000</v>
      </c>
      <c r="O40" s="72">
        <f aca="true" t="shared" si="7" ref="O40:T40">O23+O32</f>
        <v>96780000</v>
      </c>
      <c r="P40" s="72">
        <f t="shared" si="7"/>
        <v>0</v>
      </c>
      <c r="Q40" s="72">
        <f t="shared" si="7"/>
        <v>0</v>
      </c>
      <c r="R40" s="72">
        <f t="shared" si="7"/>
        <v>2186040.9</v>
      </c>
      <c r="S40" s="72">
        <f t="shared" si="7"/>
        <v>2118912.65</v>
      </c>
      <c r="T40" s="72">
        <f t="shared" si="7"/>
        <v>67128.25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4.7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2.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18" t="s">
        <v>73</v>
      </c>
      <c r="H46" s="119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H1">
      <pane xSplit="21030" topLeftCell="L1" activePane="topLeft" state="split"/>
      <selection pane="topLeft" activeCell="M19" sqref="M19"/>
      <selection pane="topRight" activeCell="L15" sqref="L15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2.875" style="1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96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14" t="s">
        <v>24</v>
      </c>
      <c r="M10" s="114" t="s">
        <v>25</v>
      </c>
      <c r="N10" s="114" t="s">
        <v>26</v>
      </c>
      <c r="O10" s="120" t="s">
        <v>97</v>
      </c>
      <c r="P10" s="121"/>
      <c r="Q10" s="114" t="s">
        <v>15</v>
      </c>
      <c r="R10" s="114" t="s">
        <v>16</v>
      </c>
      <c r="S10" s="114" t="s">
        <v>8</v>
      </c>
      <c r="T10" s="114" t="s">
        <v>98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40" t="s">
        <v>4</v>
      </c>
      <c r="P11" s="40" t="s">
        <v>5</v>
      </c>
      <c r="Q11" s="115"/>
      <c r="R11" s="115"/>
      <c r="S11" s="115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14756000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f>3272000+818000+818000</f>
        <v>4908000</v>
      </c>
      <c r="O17" s="57">
        <f aca="true" t="shared" si="1" ref="O17:O22">J17+L17-N17</f>
        <v>14756000</v>
      </c>
      <c r="P17" s="66"/>
      <c r="Q17" s="66"/>
      <c r="R17" s="66">
        <v>8933.46</v>
      </c>
      <c r="S17" s="66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57">
        <v>3578000</v>
      </c>
      <c r="O18" s="57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62">
        <f>230000+46000+66000</f>
        <v>342000</v>
      </c>
      <c r="O19" s="62">
        <f t="shared" si="1"/>
        <v>0</v>
      </c>
      <c r="P19" s="66"/>
      <c r="Q19" s="66"/>
      <c r="R19" s="66">
        <f>36.8+2021.78+43.28</f>
        <v>2101.86</v>
      </c>
      <c r="S19" s="66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1488000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f>1480000+296000+296000</f>
        <v>2072000</v>
      </c>
      <c r="O20" s="62">
        <f t="shared" si="1"/>
        <v>1488000</v>
      </c>
      <c r="P20" s="66"/>
      <c r="Q20" s="66"/>
      <c r="R20" s="66">
        <f>236.8+26137.39</f>
        <v>26374.19</v>
      </c>
      <c r="S20" s="66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>
        <v>24143.99</v>
      </c>
      <c r="S21" s="66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8956000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f>784000+1300000+1300000</f>
        <v>3384000</v>
      </c>
      <c r="O22" s="62">
        <f t="shared" si="1"/>
        <v>8956000</v>
      </c>
      <c r="P22" s="66"/>
      <c r="Q22" s="66"/>
      <c r="R22" s="66">
        <v>5891.63</v>
      </c>
      <c r="S22" s="66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27700000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64">
        <f aca="true" t="shared" si="3" ref="N23:T23">N17+N18+N19+N20+N21+N22</f>
        <v>14284000</v>
      </c>
      <c r="O23" s="64">
        <f t="shared" si="3"/>
        <v>27700000</v>
      </c>
      <c r="P23" s="64">
        <f t="shared" si="3"/>
        <v>0</v>
      </c>
      <c r="Q23" s="64">
        <f t="shared" si="3"/>
        <v>0</v>
      </c>
      <c r="R23" s="64">
        <f t="shared" si="3"/>
        <v>83080.70000000001</v>
      </c>
      <c r="S23" s="64">
        <f t="shared" si="3"/>
        <v>83080.70000000001</v>
      </c>
      <c r="T23" s="64">
        <f t="shared" si="3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1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63">
        <v>16000000</v>
      </c>
      <c r="O26" s="62">
        <f t="shared" si="5"/>
        <v>0</v>
      </c>
      <c r="P26" s="62"/>
      <c r="Q26" s="62"/>
      <c r="R26" s="62">
        <f>634555.89+76599.34</f>
        <v>711155.23</v>
      </c>
      <c r="S26" s="6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f>594742.01+114959.02+118790.98</f>
        <v>828492.01</v>
      </c>
      <c r="S27" s="62">
        <f>594742.01+114959.02+118790.98</f>
        <v>828492.01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f>174028.42+44585.79+43147.54</f>
        <v>261761.75000000003</v>
      </c>
      <c r="S28" s="62">
        <f>174028.42+44585.79+43147.54</f>
        <v>261761.75000000003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2">
        <f t="shared" si="5"/>
        <v>10000000</v>
      </c>
      <c r="P29" s="62"/>
      <c r="Q29" s="62"/>
      <c r="R29" s="62">
        <f>171291.76+57097.25+59000.5</f>
        <v>287389.51</v>
      </c>
      <c r="S29" s="62">
        <f>171291.76+57097.25+59000.5</f>
        <v>287389.51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2">
        <f t="shared" si="5"/>
        <v>10000000</v>
      </c>
      <c r="P30" s="62"/>
      <c r="Q30" s="62"/>
      <c r="R30" s="62">
        <f>33442.62+60983.61+59016.39</f>
        <v>153442.62</v>
      </c>
      <c r="S30" s="62">
        <f>33442.62+60983.61+59016.39</f>
        <v>153442.62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2">
        <f t="shared" si="5"/>
        <v>26000000</v>
      </c>
      <c r="P31" s="62"/>
      <c r="Q31" s="62"/>
      <c r="R31" s="62">
        <f>66888.91+159504.31</f>
        <v>226393.22</v>
      </c>
      <c r="S31" s="62">
        <f>66888.91+159504.31</f>
        <v>226393.22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64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64">
        <f>R25+R26+R27+R28+R29+R30+R31</f>
        <v>2542463.2000000007</v>
      </c>
      <c r="S32" s="64">
        <f>S25+S26+S27+S28+S29+S30+S31</f>
        <v>2542463.2000000007</v>
      </c>
      <c r="T32" s="64">
        <f>T25+T26+T27+T28+T29+T30+T31</f>
        <v>0</v>
      </c>
    </row>
    <row r="33" spans="1:20" s="3" customFormat="1" ht="18.75" customHeight="1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107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94300000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64">
        <f>N23+N32</f>
        <v>38984000</v>
      </c>
      <c r="O40" s="64">
        <f aca="true" t="shared" si="7" ref="O40:T40">O23+O32</f>
        <v>94300000</v>
      </c>
      <c r="P40" s="64">
        <f t="shared" si="7"/>
        <v>0</v>
      </c>
      <c r="Q40" s="64">
        <f t="shared" si="7"/>
        <v>0</v>
      </c>
      <c r="R40" s="64">
        <f t="shared" si="7"/>
        <v>2625543.900000001</v>
      </c>
      <c r="S40" s="64">
        <f t="shared" si="7"/>
        <v>2625543.900000001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5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7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2.5" customHeight="1">
      <c r="A46" s="36" t="s">
        <v>71</v>
      </c>
      <c r="B46" s="37"/>
      <c r="C46" s="37"/>
      <c r="D46" s="38"/>
      <c r="E46" s="38"/>
      <c r="F46" s="38"/>
      <c r="G46" s="118" t="s">
        <v>73</v>
      </c>
      <c r="H46" s="119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31">
      <selection activeCell="M19" sqref="M1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75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99</v>
      </c>
      <c r="K3" s="44"/>
      <c r="L3" s="44"/>
      <c r="M3" s="43"/>
      <c r="N3" s="76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77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8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14" t="s">
        <v>24</v>
      </c>
      <c r="M10" s="114" t="s">
        <v>25</v>
      </c>
      <c r="N10" s="125" t="s">
        <v>26</v>
      </c>
      <c r="O10" s="120" t="s">
        <v>100</v>
      </c>
      <c r="P10" s="121"/>
      <c r="Q10" s="114" t="s">
        <v>15</v>
      </c>
      <c r="R10" s="125" t="s">
        <v>16</v>
      </c>
      <c r="S10" s="125" t="s">
        <v>8</v>
      </c>
      <c r="T10" s="114" t="s">
        <v>101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15"/>
      <c r="M11" s="115"/>
      <c r="N11" s="126"/>
      <c r="O11" s="40" t="s">
        <v>4</v>
      </c>
      <c r="P11" s="40" t="s">
        <v>5</v>
      </c>
      <c r="Q11" s="115"/>
      <c r="R11" s="126"/>
      <c r="S11" s="126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79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80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80"/>
      <c r="O15" s="28"/>
      <c r="P15" s="28"/>
      <c r="Q15" s="28"/>
      <c r="R15" s="86"/>
      <c r="S15" s="86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13938000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81">
        <f>3272000+818000+818000+818000</f>
        <v>5726000</v>
      </c>
      <c r="O17" s="57">
        <f aca="true" t="shared" si="1" ref="O17:O22">J17+L17-N17</f>
        <v>13938000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81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82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1192000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82">
        <f>1480000+296000+296000+296000</f>
        <v>2368000</v>
      </c>
      <c r="O20" s="62">
        <f t="shared" si="1"/>
        <v>1192000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82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7592000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82">
        <f>784000+1300000+1300000+1364000</f>
        <v>4748000</v>
      </c>
      <c r="O22" s="62">
        <f t="shared" si="1"/>
        <v>7592000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25222000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83">
        <f aca="true" t="shared" si="3" ref="N23:T23">N17+N18+N19+N20+N21+N22</f>
        <v>16762000</v>
      </c>
      <c r="O23" s="64">
        <f t="shared" si="3"/>
        <v>25222000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84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84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84"/>
      <c r="O27" s="62">
        <f t="shared" si="5"/>
        <v>15000000</v>
      </c>
      <c r="P27" s="62"/>
      <c r="Q27" s="62"/>
      <c r="R27" s="82">
        <f>594742.01+114959.02+118790.98+118790.98</f>
        <v>947282.99</v>
      </c>
      <c r="S27" s="82">
        <f>594742.01+114959.02+118790.98+118790.98</f>
        <v>947282.99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84"/>
      <c r="O28" s="62">
        <f t="shared" si="5"/>
        <v>5600000</v>
      </c>
      <c r="P28" s="62"/>
      <c r="Q28" s="62"/>
      <c r="R28" s="82">
        <f>174028.42+44585.79+43147.54+44585.79</f>
        <v>306347.54000000004</v>
      </c>
      <c r="S28" s="82">
        <f>174028.42+44585.79+43147.54+44585.79</f>
        <v>306347.54000000004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84"/>
      <c r="O29" s="62">
        <f t="shared" si="5"/>
        <v>10000000</v>
      </c>
      <c r="P29" s="62"/>
      <c r="Q29" s="62"/>
      <c r="R29" s="82">
        <f>171291.76+57097.25+59000.5+59000.5</f>
        <v>346390.01</v>
      </c>
      <c r="S29" s="82">
        <f>171291.76+57097.25+59000.5+59000.5</f>
        <v>346390.01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84"/>
      <c r="O30" s="62">
        <f t="shared" si="5"/>
        <v>10000000</v>
      </c>
      <c r="P30" s="62"/>
      <c r="Q30" s="62"/>
      <c r="R30" s="82">
        <f>33442.62+60983.61+59016.39+60983.61</f>
        <v>214426.22999999998</v>
      </c>
      <c r="S30" s="82">
        <f>33442.62+60983.61+59016.39+60983.61</f>
        <v>214426.22999999998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84"/>
      <c r="O31" s="62">
        <f t="shared" si="5"/>
        <v>26000000</v>
      </c>
      <c r="P31" s="62"/>
      <c r="Q31" s="62"/>
      <c r="R31" s="82">
        <f>66888.91+159504.31+159504.32</f>
        <v>385897.54000000004</v>
      </c>
      <c r="S31" s="82">
        <f>66888.91+159504.31+159504.32</f>
        <v>385897.54000000004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83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2985328.4</v>
      </c>
      <c r="S32" s="83">
        <f>S25+S26+S27+S28+S29+S30+S31</f>
        <v>2985328.4</v>
      </c>
      <c r="T32" s="64">
        <f>T25+T26+T27+T28+T29+T30+T31</f>
        <v>0</v>
      </c>
    </row>
    <row r="33" spans="1:20" s="3" customFormat="1" ht="18.75" customHeight="1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80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80"/>
      <c r="O35" s="28"/>
      <c r="P35" s="28"/>
      <c r="Q35" s="28"/>
      <c r="R35" s="86"/>
      <c r="S35" s="86"/>
      <c r="T35" s="34"/>
    </row>
    <row r="36" spans="1:20" s="3" customFormat="1" ht="31.5" customHeight="1">
      <c r="A36" s="107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80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80"/>
      <c r="O38" s="28"/>
      <c r="P38" s="28"/>
      <c r="Q38" s="28"/>
      <c r="R38" s="86"/>
      <c r="S38" s="86"/>
      <c r="T38" s="34"/>
    </row>
    <row r="39" spans="1:20" s="3" customFormat="1" ht="18.75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91822000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83">
        <f>N23+N32</f>
        <v>41462000</v>
      </c>
      <c r="O40" s="64">
        <f aca="true" t="shared" si="7" ref="O40:T40">O23+O32</f>
        <v>91822000</v>
      </c>
      <c r="P40" s="64">
        <f t="shared" si="7"/>
        <v>0</v>
      </c>
      <c r="Q40" s="64">
        <f t="shared" si="7"/>
        <v>0</v>
      </c>
      <c r="R40" s="83">
        <f t="shared" si="7"/>
        <v>3068409.1</v>
      </c>
      <c r="S40" s="83">
        <f t="shared" si="7"/>
        <v>3068409.1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85"/>
      <c r="O41" s="20"/>
      <c r="P41" s="20"/>
      <c r="Q41" s="20"/>
      <c r="R41" s="88"/>
      <c r="S41" s="88"/>
      <c r="T41" s="20"/>
    </row>
    <row r="42" spans="1:11" ht="20.2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1" customHeight="1">
      <c r="A46" s="36" t="s">
        <v>71</v>
      </c>
      <c r="B46" s="37"/>
      <c r="C46" s="37"/>
      <c r="D46" s="38"/>
      <c r="E46" s="38"/>
      <c r="F46" s="38"/>
      <c r="G46" s="118" t="s">
        <v>73</v>
      </c>
      <c r="H46" s="119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40">
      <selection activeCell="A13" sqref="A13:T1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06" t="s">
        <v>86</v>
      </c>
      <c r="T1" s="106"/>
    </row>
    <row r="2" spans="19:20" ht="26.25" customHeight="1">
      <c r="S2" s="106"/>
      <c r="T2" s="106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102</v>
      </c>
      <c r="K3" s="44"/>
      <c r="L3" s="90"/>
      <c r="M3" s="43"/>
      <c r="N3" s="100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14" t="s">
        <v>13</v>
      </c>
      <c r="C10" s="114" t="s">
        <v>3</v>
      </c>
      <c r="D10" s="114" t="s">
        <v>9</v>
      </c>
      <c r="E10" s="114" t="s">
        <v>14</v>
      </c>
      <c r="F10" s="114" t="s">
        <v>11</v>
      </c>
      <c r="G10" s="114" t="s">
        <v>10</v>
      </c>
      <c r="H10" s="114" t="s">
        <v>6</v>
      </c>
      <c r="I10" s="114" t="s">
        <v>12</v>
      </c>
      <c r="J10" s="114" t="s">
        <v>85</v>
      </c>
      <c r="K10" s="114" t="s">
        <v>23</v>
      </c>
      <c r="L10" s="127" t="s">
        <v>24</v>
      </c>
      <c r="M10" s="114" t="s">
        <v>25</v>
      </c>
      <c r="N10" s="127" t="s">
        <v>26</v>
      </c>
      <c r="O10" s="120" t="s">
        <v>104</v>
      </c>
      <c r="P10" s="121"/>
      <c r="Q10" s="114" t="s">
        <v>15</v>
      </c>
      <c r="R10" s="125" t="s">
        <v>16</v>
      </c>
      <c r="S10" s="125" t="s">
        <v>8</v>
      </c>
      <c r="T10" s="114" t="s">
        <v>105</v>
      </c>
    </row>
    <row r="11" spans="1:20" s="13" customFormat="1" ht="94.5" customHeight="1">
      <c r="A11" s="113"/>
      <c r="B11" s="115"/>
      <c r="C11" s="115"/>
      <c r="D11" s="115"/>
      <c r="E11" s="117"/>
      <c r="F11" s="117"/>
      <c r="G11" s="115"/>
      <c r="H11" s="115"/>
      <c r="I11" s="115"/>
      <c r="J11" s="115"/>
      <c r="K11" s="115"/>
      <c r="L11" s="128"/>
      <c r="M11" s="115"/>
      <c r="N11" s="128"/>
      <c r="O11" s="40" t="s">
        <v>4</v>
      </c>
      <c r="P11" s="40" t="s">
        <v>5</v>
      </c>
      <c r="Q11" s="115"/>
      <c r="R11" s="126"/>
      <c r="S11" s="126"/>
      <c r="T11" s="11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13120000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3">
        <f>3272000+818000+818000+818000+818000</f>
        <v>6544000</v>
      </c>
      <c r="O17" s="57">
        <f aca="true" t="shared" si="1" ref="O17:O22">J17+L17-N17</f>
        <v>13120000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95"/>
      <c r="M18" s="61" t="s">
        <v>79</v>
      </c>
      <c r="N18" s="103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95"/>
      <c r="M19" s="55" t="s">
        <v>103</v>
      </c>
      <c r="N19" s="104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896000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95"/>
      <c r="M20" s="55"/>
      <c r="N20" s="104">
        <f>1480000+296000+296000+296000+296000</f>
        <v>2664000</v>
      </c>
      <c r="O20" s="62">
        <f t="shared" si="1"/>
        <v>896000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95"/>
      <c r="M21" s="55"/>
      <c r="N21" s="104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5728000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95"/>
      <c r="M22" s="55"/>
      <c r="N22" s="104">
        <f>784000+1300000+1300000+1364000+1864000</f>
        <v>6612000</v>
      </c>
      <c r="O22" s="62">
        <f t="shared" si="1"/>
        <v>5728000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22244000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96">
        <f>L17+L18+L19+L20+L21+L22</f>
        <v>0</v>
      </c>
      <c r="M23" s="24" t="s">
        <v>7</v>
      </c>
      <c r="N23" s="98">
        <f aca="true" t="shared" si="3" ref="N23:T23">N17+N18+N19+N20+N21+N22</f>
        <v>19740000</v>
      </c>
      <c r="O23" s="64">
        <f t="shared" si="3"/>
        <v>22244000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107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95"/>
      <c r="M25" s="55" t="s">
        <v>80</v>
      </c>
      <c r="N25" s="105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95"/>
      <c r="M26" s="61" t="s">
        <v>95</v>
      </c>
      <c r="N26" s="105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95"/>
      <c r="M27" s="55"/>
      <c r="N27" s="105"/>
      <c r="O27" s="62">
        <f t="shared" si="5"/>
        <v>15000000</v>
      </c>
      <c r="P27" s="62"/>
      <c r="Q27" s="62"/>
      <c r="R27" s="82">
        <f>594742.01+114959.02+118790.98+118790.98+114959.02</f>
        <v>1062242.01</v>
      </c>
      <c r="S27" s="82">
        <f>594742.01+114959.02+118790.98+118790.98+114959.02</f>
        <v>1062242.01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95"/>
      <c r="M28" s="55"/>
      <c r="N28" s="105"/>
      <c r="O28" s="62">
        <f t="shared" si="5"/>
        <v>5600000</v>
      </c>
      <c r="P28" s="62"/>
      <c r="Q28" s="62"/>
      <c r="R28" s="82">
        <f>174028.42+44585.79+43147.54+44585.79+44585.79</f>
        <v>350933.33</v>
      </c>
      <c r="S28" s="82">
        <f>174028.42+44585.79+43147.54+44585.79+44585.79</f>
        <v>350933.33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97">
        <v>10000000</v>
      </c>
      <c r="M29" s="55"/>
      <c r="N29" s="105"/>
      <c r="O29" s="62">
        <f t="shared" si="5"/>
        <v>10000000</v>
      </c>
      <c r="P29" s="62"/>
      <c r="Q29" s="62"/>
      <c r="R29" s="82">
        <f>171291.76+57097.25+59000.5+59000.5+57097.25</f>
        <v>403487.26</v>
      </c>
      <c r="S29" s="82">
        <f>171291.76+57097.25+59000.5+59000.5+57097.25</f>
        <v>403487.26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97">
        <v>10000000</v>
      </c>
      <c r="M30" s="55"/>
      <c r="N30" s="105"/>
      <c r="O30" s="62">
        <f t="shared" si="5"/>
        <v>10000000</v>
      </c>
      <c r="P30" s="62"/>
      <c r="Q30" s="62"/>
      <c r="R30" s="82">
        <f>33442.62+60983.61+59016.39+60983.61+60983.61</f>
        <v>275409.83999999997</v>
      </c>
      <c r="S30" s="82">
        <f>33442.62+60983.61+59016.39+60983.61+60983.61</f>
        <v>275409.83999999997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97">
        <v>26000000</v>
      </c>
      <c r="M31" s="55"/>
      <c r="N31" s="105"/>
      <c r="O31" s="62">
        <f t="shared" si="5"/>
        <v>26000000</v>
      </c>
      <c r="P31" s="62"/>
      <c r="Q31" s="62"/>
      <c r="R31" s="82">
        <f>66888.91+159504.31+159504.32+154359.02</f>
        <v>540256.56</v>
      </c>
      <c r="S31" s="82">
        <f>66888.91+159504.31+159504.32+154359.02</f>
        <v>540256.56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98">
        <f>L25+L26+L27+L28+L29+L30+L31</f>
        <v>46000000</v>
      </c>
      <c r="M32" s="24" t="s">
        <v>7</v>
      </c>
      <c r="N32" s="98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3417313.0900000003</v>
      </c>
      <c r="S32" s="83">
        <f>S25+S26+S27+S28+S29+S30+S31</f>
        <v>3417313.0900000003</v>
      </c>
      <c r="T32" s="64">
        <f>T25+T26+T27+T28+T29+T30+T31</f>
        <v>0</v>
      </c>
    </row>
    <row r="33" spans="1:20" s="3" customFormat="1" ht="18.75" customHeight="1">
      <c r="A33" s="107" t="s">
        <v>20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94"/>
      <c r="M34" s="28"/>
      <c r="N34" s="102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94"/>
      <c r="M35" s="24" t="s">
        <v>7</v>
      </c>
      <c r="N35" s="102"/>
      <c r="O35" s="28"/>
      <c r="P35" s="28"/>
      <c r="Q35" s="28"/>
      <c r="R35" s="86"/>
      <c r="S35" s="86"/>
      <c r="T35" s="34"/>
    </row>
    <row r="36" spans="1:20" s="3" customFormat="1" ht="31.5" customHeight="1">
      <c r="A36" s="107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94"/>
      <c r="M37" s="28"/>
      <c r="N37" s="102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94"/>
      <c r="M38" s="24" t="s">
        <v>7</v>
      </c>
      <c r="N38" s="102"/>
      <c r="O38" s="28"/>
      <c r="P38" s="28"/>
      <c r="Q38" s="28"/>
      <c r="R38" s="86"/>
      <c r="S38" s="86"/>
      <c r="T38" s="34"/>
    </row>
    <row r="39" spans="1:20" s="3" customFormat="1" ht="18.75" customHeight="1">
      <c r="A39" s="122" t="s">
        <v>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88844000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98">
        <f>L23+L32</f>
        <v>46000000</v>
      </c>
      <c r="M40" s="24" t="s">
        <v>7</v>
      </c>
      <c r="N40" s="98">
        <f>N23+N32</f>
        <v>44440000</v>
      </c>
      <c r="O40" s="64">
        <f aca="true" t="shared" si="7" ref="O40:T40">O23+O32</f>
        <v>88844000</v>
      </c>
      <c r="P40" s="64">
        <f t="shared" si="7"/>
        <v>0</v>
      </c>
      <c r="Q40" s="64">
        <f t="shared" si="7"/>
        <v>0</v>
      </c>
      <c r="R40" s="83">
        <f t="shared" si="7"/>
        <v>3500393.7900000005</v>
      </c>
      <c r="S40" s="83">
        <f t="shared" si="7"/>
        <v>3500393.7900000005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18" t="s">
        <v>73</v>
      </c>
      <c r="H46" s="119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S10:S11"/>
    <mergeCell ref="T10:T11"/>
    <mergeCell ref="F10:F11"/>
    <mergeCell ref="G10:G11"/>
    <mergeCell ref="H10:H11"/>
    <mergeCell ref="M10:M11"/>
    <mergeCell ref="N10:N11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A16:T16"/>
    <mergeCell ref="A24:T24"/>
    <mergeCell ref="A33:T33"/>
    <mergeCell ref="A36:T36"/>
    <mergeCell ref="A39:T39"/>
    <mergeCell ref="G46:H4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2020-10-21T07:35:08Z</cp:lastPrinted>
  <dcterms:created xsi:type="dcterms:W3CDTF">2006-06-05T06:40:26Z</dcterms:created>
  <dcterms:modified xsi:type="dcterms:W3CDTF">2020-10-26T07:28:37Z</dcterms:modified>
  <cp:category/>
  <cp:version/>
  <cp:contentType/>
  <cp:contentStatus/>
</cp:coreProperties>
</file>