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6" activeTab="8"/>
  </bookViews>
  <sheets>
    <sheet name="муниципалы на 01.02.20г." sheetId="1" state="hidden" r:id="rId1"/>
    <sheet name="муниципалы на 01.06.20г. " sheetId="2" r:id="rId2"/>
    <sheet name="муниципалы на 01.07.20г.  " sheetId="3" r:id="rId3"/>
    <sheet name="муниципалы на 01.08.20г." sheetId="4" r:id="rId4"/>
    <sheet name="муниципалы на 01.09.20г. " sheetId="5" r:id="rId5"/>
    <sheet name="муниципалы на 01.10.20г." sheetId="6" r:id="rId6"/>
    <sheet name="муниципалы на 01.11.20г." sheetId="7" r:id="rId7"/>
    <sheet name="муниципалы на 01.12.20г. " sheetId="8" r:id="rId8"/>
    <sheet name="муниципалы на 01.01.21г." sheetId="9" r:id="rId9"/>
  </sheets>
  <definedNames/>
  <calcPr fullCalcOnLoad="1"/>
</workbook>
</file>

<file path=xl/sharedStrings.xml><?xml version="1.0" encoding="utf-8"?>
<sst xmlns="http://schemas.openxmlformats.org/spreadsheetml/2006/main" count="1534" uniqueCount="119">
  <si>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</si>
  <si>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</si>
  <si>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</si>
  <si>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</si>
  <si>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</si>
  <si>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</si>
  <si>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</si>
  <si>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</si>
  <si>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</si>
  <si>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</si>
  <si>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</si>
  <si>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</si>
  <si>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</si>
  <si>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</si>
  <si>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</si>
  <si>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</si>
  <si>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</si>
  <si>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</si>
  <si>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</si>
  <si>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</si>
  <si>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</si>
  <si>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</si>
  <si>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</si>
  <si>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</si>
  <si>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</si>
  <si>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</si>
  <si>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</si>
  <si>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</si>
  <si>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</si>
  <si>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</si>
  <si>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</si>
  <si>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</si>
  <si>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</si>
  <si>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</si>
  <si>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</si>
  <si>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</si>
  <si>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</si>
  <si>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</si>
  <si>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</si>
  <si>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</si>
  <si>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</si>
  <si>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</si>
  <si>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</si>
  <si>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</si>
  <si>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</si>
  <si>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</si>
  <si>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</si>
  <si>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</si>
  <si>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</si>
  <si>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</si>
  <si>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</si>
  <si>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</si>
  <si>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</si>
  <si>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</si>
  <si>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</si>
  <si>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</si>
  <si>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</si>
  <si>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</si>
  <si>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</si>
  <si>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</si>
  <si>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</si>
  <si>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</si>
  <si>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</si>
  <si>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</si>
  <si>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</si>
  <si>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</si>
  <si>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</si>
  <si>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</si>
  <si>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</si>
  <si>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</si>
  <si>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</si>
  <si>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</si>
  <si>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</si>
  <si>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</si>
  <si>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</si>
  <si>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</si>
  <si>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</si>
  <si>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</si>
  <si>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</si>
  <si>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</si>
  <si>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</si>
  <si>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</si>
  <si>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Олонецкого национального муниципального района на 01.06.2020г.</t>
  </si>
  <si>
    <t>Объем муниципального долга  на 1.06.2020г.</t>
  </si>
  <si>
    <t>Объем задолженности по процентам на 1.06.2020г.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</si>
  <si>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</si>
  <si>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</si>
  <si>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</si>
  <si>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Олонецкого национального муниципального района на 01.07.2020г.</t>
  </si>
  <si>
    <t>Объем муниципального долга  на 1.07.2020г.</t>
  </si>
  <si>
    <t>Объем задолженности по процентам на 1.07.2020г.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</si>
  <si>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</si>
  <si>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</si>
  <si>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</si>
  <si>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</si>
  <si>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</si>
  <si>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Олонецкого национального муниципального района на 01.08.2020г.</t>
  </si>
  <si>
    <t>Объем муниципального долга  на 1.08.2020г.</t>
  </si>
  <si>
    <t>Объем задолженности по процентам на 1.08.2020г.</t>
  </si>
  <si>
    <t>Олонецкого национального муниципального района на 01.09.2020г.</t>
  </si>
  <si>
    <t>Объем муниципального долга  на 1.09.2020г.</t>
  </si>
  <si>
    <t>Объем задолженности по процентам на 1.09.2020г.</t>
  </si>
  <si>
    <t>Олонецкого национального муниципального района на 01.10.2020г.</t>
  </si>
  <si>
    <t>16.07.2020г.</t>
  </si>
  <si>
    <t>Объем муниципального долга  на 1.10.2020г.</t>
  </si>
  <si>
    <t>Объем задолженности по процентам на 1.10.2020г.</t>
  </si>
  <si>
    <t>Информация о долговых обязательствах муниципального образования Олонецкого национального муниципального района на 01.11.2020г.</t>
  </si>
  <si>
    <t>Объем муниципального долга  на 1.11.2020г.</t>
  </si>
  <si>
    <t>Объем задолженности по процентам на 1.11.2020г.</t>
  </si>
  <si>
    <t>Информация о долговых обязательствах муниципального образования Олонецкого национального муниципального района на 01.12.2020г.</t>
  </si>
  <si>
    <t>Объем муниципального долга  на 1.12.2020г.</t>
  </si>
  <si>
    <t>Объем задолженности по процентам на 1.12.2020г.</t>
  </si>
  <si>
    <t>Объем муниципального долга  на 1.01.2021г.</t>
  </si>
  <si>
    <t>Объем задолженности по процентам на 1.01.2021г.</t>
  </si>
  <si>
    <t>02.12.2020г.</t>
  </si>
  <si>
    <t>Муниципальный контракт  №01063000091200000086 от 28.12.2020г.</t>
  </si>
  <si>
    <t>28.07.2022г.</t>
  </si>
  <si>
    <t>28.12.2020г.</t>
  </si>
  <si>
    <t>Информация о долговых обязательствах муниципального образования Олонецкого национального муниципального района на 01.01.2021г.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</si>
</sst>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/>
    </xf>
    <xf numFmtId="2" fontId="3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2" fillId="0" borderId="15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2" fontId="2" fillId="0" borderId="18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204" t="s">
        <v>32</v>
      </c>
      <c r="T1" s="204"/>
    </row>
    <row r="2" spans="19:20" ht="26.25" customHeight="1">
      <c r="S2" s="204"/>
      <c r="T2" s="204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03"/>
      <c r="H7" s="203"/>
      <c r="I7" s="203"/>
      <c r="J7" s="203"/>
      <c r="K7" s="203"/>
      <c r="L7" s="203"/>
      <c r="M7" s="203"/>
      <c r="N7" s="203"/>
      <c r="O7" s="9"/>
      <c r="P7" s="9"/>
    </row>
    <row r="8" ht="5.25" customHeight="1"/>
    <row r="9" ht="15" customHeight="1"/>
    <row r="10" spans="1:20" ht="52.5" customHeight="1">
      <c r="A10" s="211" t="s">
        <v>0</v>
      </c>
      <c r="B10" s="197" t="s">
        <v>13</v>
      </c>
      <c r="C10" s="197" t="s">
        <v>3</v>
      </c>
      <c r="D10" s="197" t="s">
        <v>9</v>
      </c>
      <c r="E10" s="197" t="s">
        <v>14</v>
      </c>
      <c r="F10" s="197" t="s">
        <v>11</v>
      </c>
      <c r="G10" s="197" t="s">
        <v>10</v>
      </c>
      <c r="H10" s="197" t="s">
        <v>6</v>
      </c>
      <c r="I10" s="197" t="s">
        <v>12</v>
      </c>
      <c r="J10" s="197" t="s">
        <v>29</v>
      </c>
      <c r="K10" s="197" t="s">
        <v>23</v>
      </c>
      <c r="L10" s="197" t="s">
        <v>24</v>
      </c>
      <c r="M10" s="197" t="s">
        <v>25</v>
      </c>
      <c r="N10" s="197" t="s">
        <v>26</v>
      </c>
      <c r="O10" s="195" t="s">
        <v>22</v>
      </c>
      <c r="P10" s="196"/>
      <c r="Q10" s="197" t="s">
        <v>15</v>
      </c>
      <c r="R10" s="197" t="s">
        <v>16</v>
      </c>
      <c r="S10" s="197" t="s">
        <v>8</v>
      </c>
      <c r="T10" s="197" t="s">
        <v>30</v>
      </c>
    </row>
    <row r="11" spans="1:20" s="13" customFormat="1" ht="94.5" customHeight="1">
      <c r="A11" s="211"/>
      <c r="B11" s="198"/>
      <c r="C11" s="198"/>
      <c r="D11" s="198"/>
      <c r="E11" s="199"/>
      <c r="F11" s="199"/>
      <c r="G11" s="198"/>
      <c r="H11" s="198"/>
      <c r="I11" s="198"/>
      <c r="J11" s="198"/>
      <c r="K11" s="198"/>
      <c r="L11" s="198"/>
      <c r="M11" s="198"/>
      <c r="N11" s="198"/>
      <c r="O11" s="40" t="s">
        <v>4</v>
      </c>
      <c r="P11" s="40" t="s">
        <v>5</v>
      </c>
      <c r="Q11" s="198"/>
      <c r="R11" s="198"/>
      <c r="S11" s="198"/>
      <c r="T11" s="19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208" t="s">
        <v>17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205" t="s">
        <v>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205" t="s">
        <v>19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7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205" t="s">
        <v>20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7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205" t="s">
        <v>27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7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200" t="s">
        <v>31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2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93" t="s">
        <v>73</v>
      </c>
      <c r="H45" s="194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6">
      <pane ySplit="3195" topLeftCell="A37" activePane="bottomLeft" state="split"/>
      <selection pane="topLeft" activeCell="J10" sqref="J10:J11"/>
      <selection pane="bottomLeft" activeCell="L69" sqref="L69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204" t="s">
        <v>86</v>
      </c>
      <c r="T1" s="204"/>
    </row>
    <row r="2" spans="19:20" ht="26.25" customHeight="1">
      <c r="S2" s="204"/>
      <c r="T2" s="204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82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03"/>
      <c r="H7" s="203"/>
      <c r="I7" s="203"/>
      <c r="J7" s="203"/>
      <c r="K7" s="203"/>
      <c r="L7" s="203"/>
      <c r="M7" s="203"/>
      <c r="N7" s="203"/>
      <c r="O7" s="9"/>
      <c r="P7" s="9"/>
    </row>
    <row r="8" ht="5.25" customHeight="1"/>
    <row r="9" ht="15" customHeight="1"/>
    <row r="10" spans="1:20" ht="52.5" customHeight="1">
      <c r="A10" s="211" t="s">
        <v>0</v>
      </c>
      <c r="B10" s="197" t="s">
        <v>13</v>
      </c>
      <c r="C10" s="197" t="s">
        <v>3</v>
      </c>
      <c r="D10" s="197" t="s">
        <v>9</v>
      </c>
      <c r="E10" s="197" t="s">
        <v>14</v>
      </c>
      <c r="F10" s="197" t="s">
        <v>11</v>
      </c>
      <c r="G10" s="197" t="s">
        <v>10</v>
      </c>
      <c r="H10" s="197" t="s">
        <v>6</v>
      </c>
      <c r="I10" s="197" t="s">
        <v>12</v>
      </c>
      <c r="J10" s="197" t="s">
        <v>85</v>
      </c>
      <c r="K10" s="197" t="s">
        <v>23</v>
      </c>
      <c r="L10" s="197" t="s">
        <v>24</v>
      </c>
      <c r="M10" s="197" t="s">
        <v>25</v>
      </c>
      <c r="N10" s="197" t="s">
        <v>26</v>
      </c>
      <c r="O10" s="195" t="s">
        <v>83</v>
      </c>
      <c r="P10" s="196"/>
      <c r="Q10" s="197" t="s">
        <v>15</v>
      </c>
      <c r="R10" s="197" t="s">
        <v>16</v>
      </c>
      <c r="S10" s="197" t="s">
        <v>8</v>
      </c>
      <c r="T10" s="197" t="s">
        <v>84</v>
      </c>
    </row>
    <row r="11" spans="1:20" s="13" customFormat="1" ht="94.5" customHeight="1">
      <c r="A11" s="211"/>
      <c r="B11" s="198"/>
      <c r="C11" s="198"/>
      <c r="D11" s="198"/>
      <c r="E11" s="199"/>
      <c r="F11" s="199"/>
      <c r="G11" s="198"/>
      <c r="H11" s="198"/>
      <c r="I11" s="198"/>
      <c r="J11" s="198"/>
      <c r="K11" s="198"/>
      <c r="L11" s="198"/>
      <c r="M11" s="198"/>
      <c r="N11" s="198"/>
      <c r="O11" s="40" t="s">
        <v>4</v>
      </c>
      <c r="P11" s="40" t="s">
        <v>5</v>
      </c>
      <c r="Q11" s="198"/>
      <c r="R11" s="198"/>
      <c r="S11" s="198"/>
      <c r="T11" s="19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208" t="s">
        <v>17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205" t="s">
        <v>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63">
        <v>36756000</v>
      </c>
      <c r="E17" s="53" t="s">
        <v>36</v>
      </c>
      <c r="F17" s="63">
        <f aca="true" t="shared" si="0" ref="F17:F22">O17</f>
        <v>16392000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v>3272000</v>
      </c>
      <c r="O17" s="62">
        <f aca="true" t="shared" si="1" ref="O17:O22">J17+L17-N17</f>
        <v>16392000</v>
      </c>
      <c r="P17" s="66"/>
      <c r="Q17" s="66"/>
      <c r="R17" s="66"/>
      <c r="S17" s="66"/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63">
        <v>20000000</v>
      </c>
      <c r="E18" s="53" t="s">
        <v>36</v>
      </c>
      <c r="F18" s="6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62">
        <v>3578000</v>
      </c>
      <c r="O18" s="62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63">
        <v>1400000</v>
      </c>
      <c r="E19" s="53" t="s">
        <v>36</v>
      </c>
      <c r="F19" s="63">
        <f t="shared" si="0"/>
        <v>112000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/>
      <c r="N19" s="62">
        <v>230000</v>
      </c>
      <c r="O19" s="62">
        <f t="shared" si="1"/>
        <v>112000</v>
      </c>
      <c r="P19" s="66"/>
      <c r="Q19" s="66"/>
      <c r="R19" s="66">
        <v>36.8</v>
      </c>
      <c r="S19" s="66">
        <v>36.8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63">
        <v>10000000</v>
      </c>
      <c r="E20" s="53" t="s">
        <v>36</v>
      </c>
      <c r="F20" s="63">
        <f t="shared" si="0"/>
        <v>2080000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v>1480000</v>
      </c>
      <c r="O20" s="62">
        <f t="shared" si="1"/>
        <v>2080000</v>
      </c>
      <c r="P20" s="66"/>
      <c r="Q20" s="66"/>
      <c r="R20" s="66">
        <v>236.8</v>
      </c>
      <c r="S20" s="66">
        <v>236.8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63">
        <v>2500000</v>
      </c>
      <c r="E21" s="53" t="s">
        <v>36</v>
      </c>
      <c r="F21" s="6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/>
      <c r="S21" s="66"/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63">
        <v>12340000</v>
      </c>
      <c r="E22" s="53" t="s">
        <v>36</v>
      </c>
      <c r="F22" s="63">
        <f t="shared" si="0"/>
        <v>11556000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v>784000</v>
      </c>
      <c r="O22" s="62">
        <f t="shared" si="1"/>
        <v>11556000</v>
      </c>
      <c r="P22" s="66"/>
      <c r="Q22" s="66"/>
      <c r="R22" s="66"/>
      <c r="S22" s="66"/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32640000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64">
        <f>L17+L18+L19+L20+L21+L22</f>
        <v>0</v>
      </c>
      <c r="M23" s="24" t="s">
        <v>7</v>
      </c>
      <c r="N23" s="64">
        <f aca="true" t="shared" si="3" ref="N23:T23">N17+N18+N19+N20+N21+N22</f>
        <v>9344000</v>
      </c>
      <c r="O23" s="64">
        <f t="shared" si="3"/>
        <v>32640000</v>
      </c>
      <c r="P23" s="64">
        <f t="shared" si="3"/>
        <v>0</v>
      </c>
      <c r="Q23" s="64">
        <f t="shared" si="3"/>
        <v>0</v>
      </c>
      <c r="R23" s="64">
        <f t="shared" si="3"/>
        <v>15909.169999999998</v>
      </c>
      <c r="S23" s="64">
        <f t="shared" si="3"/>
        <v>15909.169999999998</v>
      </c>
      <c r="T23" s="64">
        <f t="shared" si="3"/>
        <v>0</v>
      </c>
    </row>
    <row r="24" spans="1:20" s="3" customFormat="1" ht="31.5" customHeight="1">
      <c r="A24" s="205" t="s">
        <v>19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7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63">
        <v>10000000</v>
      </c>
      <c r="E25" s="53" t="s">
        <v>36</v>
      </c>
      <c r="F25" s="6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0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0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63">
        <v>16000000</v>
      </c>
      <c r="E26" s="53" t="s">
        <v>36</v>
      </c>
      <c r="F26" s="63">
        <f t="shared" si="4"/>
        <v>16000000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55"/>
      <c r="N26" s="63"/>
      <c r="O26" s="62">
        <f t="shared" si="5"/>
        <v>16000000</v>
      </c>
      <c r="P26" s="62"/>
      <c r="Q26" s="62"/>
      <c r="R26" s="62">
        <v>634555.89</v>
      </c>
      <c r="S26" s="62">
        <v>634555.89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63">
        <v>15000000</v>
      </c>
      <c r="E27" s="53" t="s">
        <v>36</v>
      </c>
      <c r="F27" s="6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v>594742.01</v>
      </c>
      <c r="S27" s="62">
        <v>594742.01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v>174028.42</v>
      </c>
      <c r="S28" s="62">
        <v>174028.42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63">
        <v>10000000</v>
      </c>
      <c r="E29" s="53" t="s">
        <v>36</v>
      </c>
      <c r="F29" s="6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66">
        <v>10000000</v>
      </c>
      <c r="M29" s="55"/>
      <c r="N29" s="63"/>
      <c r="O29" s="62">
        <f t="shared" si="5"/>
        <v>10000000</v>
      </c>
      <c r="P29" s="62"/>
      <c r="Q29" s="62"/>
      <c r="R29" s="62">
        <v>171291.76</v>
      </c>
      <c r="S29" s="62">
        <v>171291.76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63">
        <v>10000000</v>
      </c>
      <c r="E30" s="53" t="s">
        <v>36</v>
      </c>
      <c r="F30" s="6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66">
        <v>10000000</v>
      </c>
      <c r="M30" s="55"/>
      <c r="N30" s="63"/>
      <c r="O30" s="62">
        <f t="shared" si="5"/>
        <v>10000000</v>
      </c>
      <c r="P30" s="62"/>
      <c r="Q30" s="62"/>
      <c r="R30" s="62">
        <v>33442.62</v>
      </c>
      <c r="S30" s="62">
        <v>33442.62</v>
      </c>
      <c r="T30" s="67">
        <f t="shared" si="6"/>
        <v>0</v>
      </c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64">
        <f>F25+F26+F27+F28+F29+F30</f>
        <v>56600000</v>
      </c>
      <c r="G31" s="24" t="s">
        <v>7</v>
      </c>
      <c r="H31" s="24" t="s">
        <v>7</v>
      </c>
      <c r="I31" s="24" t="s">
        <v>7</v>
      </c>
      <c r="J31" s="64">
        <f>J25+J26+J27+J28+J29+J30</f>
        <v>45300000</v>
      </c>
      <c r="K31" s="24" t="s">
        <v>7</v>
      </c>
      <c r="L31" s="64">
        <f>L25+L26+L27+L28+L29+L30</f>
        <v>20000000</v>
      </c>
      <c r="M31" s="24" t="s">
        <v>7</v>
      </c>
      <c r="N31" s="64">
        <f aca="true" t="shared" si="7" ref="N31:T31">N25+N26+N27+N28+N29+N30</f>
        <v>8700000</v>
      </c>
      <c r="O31" s="64">
        <f t="shared" si="7"/>
        <v>56600000</v>
      </c>
      <c r="P31" s="64">
        <f t="shared" si="7"/>
        <v>0</v>
      </c>
      <c r="Q31" s="64">
        <f t="shared" si="7"/>
        <v>0</v>
      </c>
      <c r="R31" s="64">
        <f t="shared" si="7"/>
        <v>1681889.56</v>
      </c>
      <c r="S31" s="64">
        <f t="shared" si="7"/>
        <v>1681889.56</v>
      </c>
      <c r="T31" s="64">
        <f t="shared" si="7"/>
        <v>0</v>
      </c>
    </row>
    <row r="32" spans="1:20" s="3" customFormat="1" ht="18.75" customHeight="1">
      <c r="A32" s="205" t="s">
        <v>20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7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205" t="s">
        <v>27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7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200" t="s">
        <v>31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2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64">
        <f>F23+F31</f>
        <v>89240000</v>
      </c>
      <c r="G39" s="24" t="s">
        <v>7</v>
      </c>
      <c r="H39" s="24" t="s">
        <v>7</v>
      </c>
      <c r="I39" s="24" t="s">
        <v>7</v>
      </c>
      <c r="J39" s="64">
        <f>J23+J31</f>
        <v>87284000</v>
      </c>
      <c r="K39" s="24" t="s">
        <v>7</v>
      </c>
      <c r="L39" s="64">
        <f>L23+L31</f>
        <v>20000000</v>
      </c>
      <c r="M39" s="24" t="s">
        <v>7</v>
      </c>
      <c r="N39" s="64">
        <f>N23+N31</f>
        <v>18044000</v>
      </c>
      <c r="O39" s="64">
        <f aca="true" t="shared" si="8" ref="O39:T39">O23+O31</f>
        <v>89240000</v>
      </c>
      <c r="P39" s="64">
        <f t="shared" si="8"/>
        <v>0</v>
      </c>
      <c r="Q39" s="64">
        <f t="shared" si="8"/>
        <v>0</v>
      </c>
      <c r="R39" s="64">
        <f t="shared" si="8"/>
        <v>1697798.73</v>
      </c>
      <c r="S39" s="64">
        <f t="shared" si="8"/>
        <v>1697798.73</v>
      </c>
      <c r="T39" s="64">
        <f t="shared" si="8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26.25" customHeight="1">
      <c r="A41" s="36" t="s">
        <v>87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25.5" customHeight="1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20.25" customHeight="1">
      <c r="A45" s="36" t="s">
        <v>71</v>
      </c>
      <c r="B45" s="37"/>
      <c r="C45" s="37"/>
      <c r="D45" s="38"/>
      <c r="E45" s="38"/>
      <c r="F45" s="38"/>
      <c r="G45" s="193" t="s">
        <v>73</v>
      </c>
      <c r="H45" s="194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4:T24"/>
    <mergeCell ref="A32:T32"/>
    <mergeCell ref="A35:T35"/>
    <mergeCell ref="A38:T38"/>
    <mergeCell ref="G45:H45"/>
    <mergeCell ref="A10:A11"/>
    <mergeCell ref="B10:B11"/>
    <mergeCell ref="C10:C11"/>
    <mergeCell ref="D10:D11"/>
    <mergeCell ref="E10:E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F15">
      <pane ySplit="3195" topLeftCell="A1" activePane="bottomLeft" state="split"/>
      <selection pane="topLeft" activeCell="S30" sqref="S30"/>
      <selection pane="bottomLeft" activeCell="D62" sqref="D62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204" t="s">
        <v>86</v>
      </c>
      <c r="T1" s="204"/>
    </row>
    <row r="2" spans="19:20" ht="26.25" customHeight="1">
      <c r="S2" s="204"/>
      <c r="T2" s="204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88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03"/>
      <c r="H7" s="203"/>
      <c r="I7" s="203"/>
      <c r="J7" s="203"/>
      <c r="K7" s="203"/>
      <c r="L7" s="203"/>
      <c r="M7" s="203"/>
      <c r="N7" s="203"/>
      <c r="O7" s="9"/>
      <c r="P7" s="9"/>
    </row>
    <row r="8" ht="5.25" customHeight="1"/>
    <row r="9" ht="15" customHeight="1"/>
    <row r="10" spans="1:20" ht="52.5" customHeight="1">
      <c r="A10" s="211" t="s">
        <v>0</v>
      </c>
      <c r="B10" s="197" t="s">
        <v>13</v>
      </c>
      <c r="C10" s="197" t="s">
        <v>3</v>
      </c>
      <c r="D10" s="197" t="s">
        <v>9</v>
      </c>
      <c r="E10" s="197" t="s">
        <v>14</v>
      </c>
      <c r="F10" s="197" t="s">
        <v>11</v>
      </c>
      <c r="G10" s="197" t="s">
        <v>10</v>
      </c>
      <c r="H10" s="197" t="s">
        <v>6</v>
      </c>
      <c r="I10" s="197" t="s">
        <v>12</v>
      </c>
      <c r="J10" s="197" t="s">
        <v>85</v>
      </c>
      <c r="K10" s="197" t="s">
        <v>23</v>
      </c>
      <c r="L10" s="197" t="s">
        <v>24</v>
      </c>
      <c r="M10" s="197" t="s">
        <v>25</v>
      </c>
      <c r="N10" s="197" t="s">
        <v>26</v>
      </c>
      <c r="O10" s="195" t="s">
        <v>89</v>
      </c>
      <c r="P10" s="196"/>
      <c r="Q10" s="197" t="s">
        <v>15</v>
      </c>
      <c r="R10" s="197" t="s">
        <v>16</v>
      </c>
      <c r="S10" s="197" t="s">
        <v>8</v>
      </c>
      <c r="T10" s="197" t="s">
        <v>90</v>
      </c>
    </row>
    <row r="11" spans="1:20" s="13" customFormat="1" ht="94.5" customHeight="1">
      <c r="A11" s="211"/>
      <c r="B11" s="198"/>
      <c r="C11" s="198"/>
      <c r="D11" s="198"/>
      <c r="E11" s="199"/>
      <c r="F11" s="199"/>
      <c r="G11" s="198"/>
      <c r="H11" s="198"/>
      <c r="I11" s="198"/>
      <c r="J11" s="198"/>
      <c r="K11" s="198"/>
      <c r="L11" s="198"/>
      <c r="M11" s="198"/>
      <c r="N11" s="198"/>
      <c r="O11" s="40" t="s">
        <v>4</v>
      </c>
      <c r="P11" s="40" t="s">
        <v>5</v>
      </c>
      <c r="Q11" s="198"/>
      <c r="R11" s="198"/>
      <c r="S11" s="198"/>
      <c r="T11" s="19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208" t="s">
        <v>17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205" t="s">
        <v>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15574000</v>
      </c>
      <c r="G17" s="55" t="s">
        <v>37</v>
      </c>
      <c r="H17" s="56" t="s">
        <v>38</v>
      </c>
      <c r="I17" s="57" t="s">
        <v>39</v>
      </c>
      <c r="J17" s="74">
        <v>19664000</v>
      </c>
      <c r="K17" s="57" t="s">
        <v>40</v>
      </c>
      <c r="L17" s="66"/>
      <c r="M17" s="61"/>
      <c r="N17" s="58">
        <f>3272000+818000</f>
        <v>4090000</v>
      </c>
      <c r="O17" s="58">
        <f aca="true" t="shared" si="1" ref="O17:O22">J17+L17-N17</f>
        <v>15574000</v>
      </c>
      <c r="P17" s="66"/>
      <c r="Q17" s="66"/>
      <c r="R17" s="66">
        <v>8933.46</v>
      </c>
      <c r="S17" s="66"/>
      <c r="T17" s="68">
        <f aca="true" t="shared" si="2" ref="T17:T22">Q17+R17-S17</f>
        <v>8933.46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73">
        <v>3578000</v>
      </c>
      <c r="K18" s="55" t="s">
        <v>44</v>
      </c>
      <c r="L18" s="66"/>
      <c r="M18" s="61" t="s">
        <v>79</v>
      </c>
      <c r="N18" s="69">
        <v>3578000</v>
      </c>
      <c r="O18" s="69">
        <f t="shared" si="1"/>
        <v>0</v>
      </c>
      <c r="P18" s="66"/>
      <c r="Q18" s="66"/>
      <c r="R18" s="71">
        <v>15635.57</v>
      </c>
      <c r="S18" s="71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66000</v>
      </c>
      <c r="G19" s="55" t="s">
        <v>47</v>
      </c>
      <c r="H19" s="56" t="s">
        <v>42</v>
      </c>
      <c r="I19" s="57" t="s">
        <v>43</v>
      </c>
      <c r="J19" s="73">
        <v>342000</v>
      </c>
      <c r="K19" s="55" t="s">
        <v>48</v>
      </c>
      <c r="L19" s="66"/>
      <c r="M19" s="55"/>
      <c r="N19" s="69">
        <f>230000+46000</f>
        <v>276000</v>
      </c>
      <c r="O19" s="69">
        <f t="shared" si="1"/>
        <v>66000</v>
      </c>
      <c r="P19" s="66"/>
      <c r="Q19" s="66"/>
      <c r="R19" s="71">
        <f>36.8+2021.78</f>
        <v>2058.58</v>
      </c>
      <c r="S19" s="71">
        <v>36.8</v>
      </c>
      <c r="T19" s="68">
        <f t="shared" si="2"/>
        <v>2021.78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1784000</v>
      </c>
      <c r="G20" s="55" t="s">
        <v>50</v>
      </c>
      <c r="H20" s="56" t="s">
        <v>38</v>
      </c>
      <c r="I20" s="57" t="s">
        <v>43</v>
      </c>
      <c r="J20" s="73">
        <v>3560000</v>
      </c>
      <c r="K20" s="55" t="s">
        <v>51</v>
      </c>
      <c r="L20" s="66"/>
      <c r="M20" s="55"/>
      <c r="N20" s="69">
        <f>1480000+296000</f>
        <v>1776000</v>
      </c>
      <c r="O20" s="69">
        <f t="shared" si="1"/>
        <v>1784000</v>
      </c>
      <c r="P20" s="66"/>
      <c r="Q20" s="66"/>
      <c r="R20" s="71">
        <f>236.8+26137.39</f>
        <v>26374.19</v>
      </c>
      <c r="S20" s="71">
        <v>236.8</v>
      </c>
      <c r="T20" s="68">
        <f t="shared" si="2"/>
        <v>26137.39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73">
        <v>2500000</v>
      </c>
      <c r="K21" s="55" t="s">
        <v>55</v>
      </c>
      <c r="L21" s="66"/>
      <c r="M21" s="55"/>
      <c r="N21" s="69"/>
      <c r="O21" s="69">
        <f t="shared" si="1"/>
        <v>2500000</v>
      </c>
      <c r="P21" s="66"/>
      <c r="Q21" s="66"/>
      <c r="R21" s="71">
        <v>24143.99</v>
      </c>
      <c r="S21" s="66"/>
      <c r="T21" s="68">
        <f t="shared" si="2"/>
        <v>24143.99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10256000</v>
      </c>
      <c r="G22" s="55" t="s">
        <v>37</v>
      </c>
      <c r="H22" s="56" t="s">
        <v>54</v>
      </c>
      <c r="I22" s="57" t="s">
        <v>39</v>
      </c>
      <c r="J22" s="73">
        <v>12340000</v>
      </c>
      <c r="K22" s="55" t="s">
        <v>57</v>
      </c>
      <c r="L22" s="66"/>
      <c r="M22" s="55"/>
      <c r="N22" s="69">
        <f>784000+1300000</f>
        <v>2084000</v>
      </c>
      <c r="O22" s="69">
        <f t="shared" si="1"/>
        <v>10256000</v>
      </c>
      <c r="P22" s="66"/>
      <c r="Q22" s="66"/>
      <c r="R22" s="66">
        <v>5891.63</v>
      </c>
      <c r="S22" s="66"/>
      <c r="T22" s="68">
        <f t="shared" si="2"/>
        <v>5891.63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30180000</v>
      </c>
      <c r="G23" s="24" t="s">
        <v>7</v>
      </c>
      <c r="H23" s="24" t="s">
        <v>7</v>
      </c>
      <c r="I23" s="24" t="s">
        <v>7</v>
      </c>
      <c r="J23" s="72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72">
        <f aca="true" t="shared" si="3" ref="N23:T23">N17+N18+N19+N20+N21+N22</f>
        <v>11804000</v>
      </c>
      <c r="O23" s="72">
        <f t="shared" si="3"/>
        <v>30180000</v>
      </c>
      <c r="P23" s="72">
        <f t="shared" si="3"/>
        <v>0</v>
      </c>
      <c r="Q23" s="72">
        <f t="shared" si="3"/>
        <v>0</v>
      </c>
      <c r="R23" s="72">
        <f t="shared" si="3"/>
        <v>83037.42000000001</v>
      </c>
      <c r="S23" s="72">
        <f t="shared" si="3"/>
        <v>15909.169999999998</v>
      </c>
      <c r="T23" s="72">
        <f t="shared" si="3"/>
        <v>67128.25</v>
      </c>
    </row>
    <row r="24" spans="1:20" s="3" customFormat="1" ht="31.5" customHeight="1">
      <c r="A24" s="205" t="s">
        <v>19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7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73">
        <v>8700000</v>
      </c>
      <c r="K25" s="55" t="s">
        <v>57</v>
      </c>
      <c r="L25" s="66"/>
      <c r="M25" s="55" t="s">
        <v>80</v>
      </c>
      <c r="N25" s="73">
        <v>8700000</v>
      </c>
      <c r="O25" s="69">
        <f aca="true" t="shared" si="5" ref="O25:O31">J25+L25-N25</f>
        <v>0</v>
      </c>
      <c r="P25" s="62"/>
      <c r="Q25" s="62"/>
      <c r="R25" s="69">
        <v>73828.86</v>
      </c>
      <c r="S25" s="69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73">
        <v>16000000</v>
      </c>
      <c r="K26" s="55" t="s">
        <v>66</v>
      </c>
      <c r="L26" s="66"/>
      <c r="M26" s="61" t="s">
        <v>95</v>
      </c>
      <c r="N26" s="73">
        <v>16000000</v>
      </c>
      <c r="O26" s="69">
        <f t="shared" si="5"/>
        <v>0</v>
      </c>
      <c r="P26" s="62"/>
      <c r="Q26" s="62"/>
      <c r="R26" s="69">
        <f>634555.89+76599.34</f>
        <v>711155.23</v>
      </c>
      <c r="S26" s="69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9">
        <f t="shared" si="5"/>
        <v>15000000</v>
      </c>
      <c r="P27" s="62"/>
      <c r="Q27" s="62"/>
      <c r="R27" s="69">
        <f>594742.01+114959.02</f>
        <v>709701.03</v>
      </c>
      <c r="S27" s="69">
        <f>594742.01+114959.02</f>
        <v>709701.03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9">
        <f>174028.42+44585.79</f>
        <v>218614.21000000002</v>
      </c>
      <c r="S28" s="69">
        <f>174028.42+44585.79</f>
        <v>218614.21000000002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9">
        <f t="shared" si="5"/>
        <v>10000000</v>
      </c>
      <c r="P29" s="62"/>
      <c r="Q29" s="62"/>
      <c r="R29" s="69">
        <f>171291.76+57097.25</f>
        <v>228389.01</v>
      </c>
      <c r="S29" s="69">
        <f>171291.76+57097.25</f>
        <v>228389.01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9">
        <f t="shared" si="5"/>
        <v>10000000</v>
      </c>
      <c r="P30" s="62"/>
      <c r="Q30" s="62"/>
      <c r="R30" s="69">
        <f>33442.62+60983.61</f>
        <v>94426.23000000001</v>
      </c>
      <c r="S30" s="69">
        <f>33442.62+60983.61</f>
        <v>94426.23000000001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9">
        <f t="shared" si="5"/>
        <v>26000000</v>
      </c>
      <c r="P31" s="62"/>
      <c r="Q31" s="62"/>
      <c r="R31" s="69">
        <v>66888.91</v>
      </c>
      <c r="S31" s="69">
        <v>66888.91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72">
        <f>J25+J26+J27+J28+J29+J30+J31</f>
        <v>45300000</v>
      </c>
      <c r="K32" s="24" t="s">
        <v>7</v>
      </c>
      <c r="L32" s="72">
        <f>L25+L26+L27+L28+L29+L30+L31</f>
        <v>46000000</v>
      </c>
      <c r="M32" s="24" t="s">
        <v>7</v>
      </c>
      <c r="N32" s="72">
        <f>N25+N26+N27+N28+N29+N30+N31</f>
        <v>24700000</v>
      </c>
      <c r="O32" s="72">
        <f>O25+O26+O27+O28+O29+O30+O31</f>
        <v>66600000</v>
      </c>
      <c r="P32" s="72">
        <f>P25+P26+P27+P28+P29+P30</f>
        <v>0</v>
      </c>
      <c r="Q32" s="72">
        <f>Q25+Q26+Q27+Q28+Q29+Q30</f>
        <v>0</v>
      </c>
      <c r="R32" s="72">
        <f>R25+R26+R27+R28+R29+R30+R31</f>
        <v>2103003.48</v>
      </c>
      <c r="S32" s="72">
        <f>S25+S26+S27+S28+S29+S30+S31</f>
        <v>2103003.48</v>
      </c>
      <c r="T32" s="72">
        <f>T25+T26+T27+T28+T29+T30+T31</f>
        <v>0</v>
      </c>
    </row>
    <row r="33" spans="1:20" s="3" customFormat="1" ht="18.75" customHeight="1">
      <c r="A33" s="205" t="s">
        <v>20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7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205" t="s">
        <v>27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7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200" t="s">
        <v>31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96780000</v>
      </c>
      <c r="G40" s="24" t="s">
        <v>7</v>
      </c>
      <c r="H40" s="24" t="s">
        <v>7</v>
      </c>
      <c r="I40" s="24" t="s">
        <v>7</v>
      </c>
      <c r="J40" s="72">
        <f>J23+J32</f>
        <v>87284000</v>
      </c>
      <c r="K40" s="24" t="s">
        <v>7</v>
      </c>
      <c r="L40" s="72">
        <f>L23+L32</f>
        <v>46000000</v>
      </c>
      <c r="M40" s="24" t="s">
        <v>7</v>
      </c>
      <c r="N40" s="72">
        <f>N23+N32</f>
        <v>36504000</v>
      </c>
      <c r="O40" s="72">
        <f aca="true" t="shared" si="7" ref="O40:T40">O23+O32</f>
        <v>96780000</v>
      </c>
      <c r="P40" s="72">
        <f t="shared" si="7"/>
        <v>0</v>
      </c>
      <c r="Q40" s="72">
        <f t="shared" si="7"/>
        <v>0</v>
      </c>
      <c r="R40" s="72">
        <f t="shared" si="7"/>
        <v>2186040.9</v>
      </c>
      <c r="S40" s="72">
        <f t="shared" si="7"/>
        <v>2118912.65</v>
      </c>
      <c r="T40" s="72">
        <f t="shared" si="7"/>
        <v>67128.25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4.7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2.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93" t="s">
        <v>73</v>
      </c>
      <c r="H46" s="194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H1">
      <pane xSplit="21030" topLeftCell="L1" activePane="topLeft" state="split"/>
      <selection pane="topLeft" activeCell="M19" sqref="M19"/>
      <selection pane="topRight" activeCell="L15" sqref="L15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2.875" style="1" customWidth="1"/>
    <col min="20" max="20" width="12.125" style="1" customWidth="1"/>
    <col min="21" max="16384" width="9.125" style="1" customWidth="1"/>
  </cols>
  <sheetData>
    <row r="1" spans="19:20" ht="12.75">
      <c r="S1" s="204" t="s">
        <v>86</v>
      </c>
      <c r="T1" s="204"/>
    </row>
    <row r="2" spans="19:20" ht="26.25" customHeight="1">
      <c r="S2" s="204"/>
      <c r="T2" s="204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96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03"/>
      <c r="H7" s="203"/>
      <c r="I7" s="203"/>
      <c r="J7" s="203"/>
      <c r="K7" s="203"/>
      <c r="L7" s="203"/>
      <c r="M7" s="203"/>
      <c r="N7" s="203"/>
      <c r="O7" s="9"/>
      <c r="P7" s="9"/>
    </row>
    <row r="8" ht="5.25" customHeight="1"/>
    <row r="9" ht="15" customHeight="1"/>
    <row r="10" spans="1:20" ht="52.5" customHeight="1">
      <c r="A10" s="211" t="s">
        <v>0</v>
      </c>
      <c r="B10" s="197" t="s">
        <v>13</v>
      </c>
      <c r="C10" s="197" t="s">
        <v>3</v>
      </c>
      <c r="D10" s="197" t="s">
        <v>9</v>
      </c>
      <c r="E10" s="197" t="s">
        <v>14</v>
      </c>
      <c r="F10" s="197" t="s">
        <v>11</v>
      </c>
      <c r="G10" s="197" t="s">
        <v>10</v>
      </c>
      <c r="H10" s="197" t="s">
        <v>6</v>
      </c>
      <c r="I10" s="197" t="s">
        <v>12</v>
      </c>
      <c r="J10" s="197" t="s">
        <v>85</v>
      </c>
      <c r="K10" s="197" t="s">
        <v>23</v>
      </c>
      <c r="L10" s="197" t="s">
        <v>24</v>
      </c>
      <c r="M10" s="197" t="s">
        <v>25</v>
      </c>
      <c r="N10" s="197" t="s">
        <v>26</v>
      </c>
      <c r="O10" s="195" t="s">
        <v>97</v>
      </c>
      <c r="P10" s="196"/>
      <c r="Q10" s="197" t="s">
        <v>15</v>
      </c>
      <c r="R10" s="197" t="s">
        <v>16</v>
      </c>
      <c r="S10" s="197" t="s">
        <v>8</v>
      </c>
      <c r="T10" s="197" t="s">
        <v>98</v>
      </c>
    </row>
    <row r="11" spans="1:20" s="13" customFormat="1" ht="94.5" customHeight="1">
      <c r="A11" s="211"/>
      <c r="B11" s="198"/>
      <c r="C11" s="198"/>
      <c r="D11" s="198"/>
      <c r="E11" s="199"/>
      <c r="F11" s="199"/>
      <c r="G11" s="198"/>
      <c r="H11" s="198"/>
      <c r="I11" s="198"/>
      <c r="J11" s="198"/>
      <c r="K11" s="198"/>
      <c r="L11" s="198"/>
      <c r="M11" s="198"/>
      <c r="N11" s="198"/>
      <c r="O11" s="40" t="s">
        <v>4</v>
      </c>
      <c r="P11" s="40" t="s">
        <v>5</v>
      </c>
      <c r="Q11" s="198"/>
      <c r="R11" s="198"/>
      <c r="S11" s="198"/>
      <c r="T11" s="19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208" t="s">
        <v>17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205" t="s">
        <v>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14756000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f>3272000+818000+818000</f>
        <v>4908000</v>
      </c>
      <c r="O17" s="57">
        <f aca="true" t="shared" si="1" ref="O17:O22">J17+L17-N17</f>
        <v>14756000</v>
      </c>
      <c r="P17" s="66"/>
      <c r="Q17" s="66"/>
      <c r="R17" s="66">
        <v>8933.46</v>
      </c>
      <c r="S17" s="66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57">
        <v>3578000</v>
      </c>
      <c r="O18" s="57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62">
        <f>230000+46000+66000</f>
        <v>342000</v>
      </c>
      <c r="O19" s="62">
        <f t="shared" si="1"/>
        <v>0</v>
      </c>
      <c r="P19" s="66"/>
      <c r="Q19" s="66"/>
      <c r="R19" s="66">
        <f>36.8+2021.78+43.28</f>
        <v>2101.86</v>
      </c>
      <c r="S19" s="66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1488000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f>1480000+296000+296000</f>
        <v>2072000</v>
      </c>
      <c r="O20" s="62">
        <f t="shared" si="1"/>
        <v>1488000</v>
      </c>
      <c r="P20" s="66"/>
      <c r="Q20" s="66"/>
      <c r="R20" s="66">
        <f>236.8+26137.39</f>
        <v>26374.19</v>
      </c>
      <c r="S20" s="66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>
        <v>24143.99</v>
      </c>
      <c r="S21" s="66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8956000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f>784000+1300000+1300000</f>
        <v>3384000</v>
      </c>
      <c r="O22" s="62">
        <f t="shared" si="1"/>
        <v>8956000</v>
      </c>
      <c r="P22" s="66"/>
      <c r="Q22" s="66"/>
      <c r="R22" s="66">
        <v>5891.63</v>
      </c>
      <c r="S22" s="66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27700000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64">
        <f aca="true" t="shared" si="3" ref="N23:T23">N17+N18+N19+N20+N21+N22</f>
        <v>14284000</v>
      </c>
      <c r="O23" s="64">
        <f t="shared" si="3"/>
        <v>27700000</v>
      </c>
      <c r="P23" s="64">
        <f t="shared" si="3"/>
        <v>0</v>
      </c>
      <c r="Q23" s="64">
        <f t="shared" si="3"/>
        <v>0</v>
      </c>
      <c r="R23" s="64">
        <f t="shared" si="3"/>
        <v>83080.70000000001</v>
      </c>
      <c r="S23" s="64">
        <f t="shared" si="3"/>
        <v>83080.70000000001</v>
      </c>
      <c r="T23" s="64">
        <f t="shared" si="3"/>
        <v>0</v>
      </c>
    </row>
    <row r="24" spans="1:20" s="3" customFormat="1" ht="31.5" customHeight="1">
      <c r="A24" s="205" t="s">
        <v>19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7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1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63">
        <v>16000000</v>
      </c>
      <c r="O26" s="62">
        <f t="shared" si="5"/>
        <v>0</v>
      </c>
      <c r="P26" s="62"/>
      <c r="Q26" s="62"/>
      <c r="R26" s="62">
        <f>634555.89+76599.34</f>
        <v>711155.23</v>
      </c>
      <c r="S26" s="6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f>594742.01+114959.02+118790.98</f>
        <v>828492.01</v>
      </c>
      <c r="S27" s="62">
        <f>594742.01+114959.02+118790.98</f>
        <v>828492.01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f>174028.42+44585.79+43147.54</f>
        <v>261761.75000000003</v>
      </c>
      <c r="S28" s="62">
        <f>174028.42+44585.79+43147.54</f>
        <v>261761.75000000003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2">
        <f t="shared" si="5"/>
        <v>10000000</v>
      </c>
      <c r="P29" s="62"/>
      <c r="Q29" s="62"/>
      <c r="R29" s="62">
        <f>171291.76+57097.25+59000.5</f>
        <v>287389.51</v>
      </c>
      <c r="S29" s="62">
        <f>171291.76+57097.25+59000.5</f>
        <v>287389.51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2">
        <f t="shared" si="5"/>
        <v>10000000</v>
      </c>
      <c r="P30" s="62"/>
      <c r="Q30" s="62"/>
      <c r="R30" s="62">
        <f>33442.62+60983.61+59016.39</f>
        <v>153442.62</v>
      </c>
      <c r="S30" s="62">
        <f>33442.62+60983.61+59016.39</f>
        <v>153442.62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2">
        <f t="shared" si="5"/>
        <v>26000000</v>
      </c>
      <c r="P31" s="62"/>
      <c r="Q31" s="62"/>
      <c r="R31" s="62">
        <f>66888.91+159504.31</f>
        <v>226393.22</v>
      </c>
      <c r="S31" s="62">
        <f>66888.91+159504.31</f>
        <v>226393.22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64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64">
        <f>R25+R26+R27+R28+R29+R30+R31</f>
        <v>2542463.2000000007</v>
      </c>
      <c r="S32" s="64">
        <f>S25+S26+S27+S28+S29+S30+S31</f>
        <v>2542463.2000000007</v>
      </c>
      <c r="T32" s="64">
        <f>T25+T26+T27+T28+T29+T30+T31</f>
        <v>0</v>
      </c>
    </row>
    <row r="33" spans="1:20" s="3" customFormat="1" ht="18.75" customHeight="1">
      <c r="A33" s="205" t="s">
        <v>20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7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205" t="s">
        <v>27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7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200" t="s">
        <v>31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94300000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64">
        <f>N23+N32</f>
        <v>38984000</v>
      </c>
      <c r="O40" s="64">
        <f aca="true" t="shared" si="7" ref="O40:T40">O23+O32</f>
        <v>94300000</v>
      </c>
      <c r="P40" s="64">
        <f t="shared" si="7"/>
        <v>0</v>
      </c>
      <c r="Q40" s="64">
        <f t="shared" si="7"/>
        <v>0</v>
      </c>
      <c r="R40" s="64">
        <f t="shared" si="7"/>
        <v>2625543.900000001</v>
      </c>
      <c r="S40" s="64">
        <f t="shared" si="7"/>
        <v>2625543.900000001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5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7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2.5" customHeight="1">
      <c r="A46" s="36" t="s">
        <v>71</v>
      </c>
      <c r="B46" s="37"/>
      <c r="C46" s="37"/>
      <c r="D46" s="38"/>
      <c r="E46" s="38"/>
      <c r="F46" s="38"/>
      <c r="G46" s="193" t="s">
        <v>73</v>
      </c>
      <c r="H46" s="194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M17">
      <selection activeCell="O17" sqref="O17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75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204" t="s">
        <v>86</v>
      </c>
      <c r="T1" s="204"/>
    </row>
    <row r="2" spans="19:20" ht="26.25" customHeight="1">
      <c r="S2" s="204"/>
      <c r="T2" s="204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99</v>
      </c>
      <c r="K3" s="44"/>
      <c r="L3" s="44"/>
      <c r="M3" s="43"/>
      <c r="N3" s="76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77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8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203"/>
      <c r="H7" s="203"/>
      <c r="I7" s="203"/>
      <c r="J7" s="203"/>
      <c r="K7" s="203"/>
      <c r="L7" s="203"/>
      <c r="M7" s="203"/>
      <c r="N7" s="203"/>
      <c r="O7" s="9"/>
      <c r="P7" s="9"/>
    </row>
    <row r="8" ht="5.25" customHeight="1"/>
    <row r="9" ht="15" customHeight="1"/>
    <row r="10" spans="1:20" ht="52.5" customHeight="1">
      <c r="A10" s="211" t="s">
        <v>0</v>
      </c>
      <c r="B10" s="197" t="s">
        <v>13</v>
      </c>
      <c r="C10" s="197" t="s">
        <v>3</v>
      </c>
      <c r="D10" s="197" t="s">
        <v>9</v>
      </c>
      <c r="E10" s="197" t="s">
        <v>14</v>
      </c>
      <c r="F10" s="197" t="s">
        <v>11</v>
      </c>
      <c r="G10" s="197" t="s">
        <v>10</v>
      </c>
      <c r="H10" s="197" t="s">
        <v>6</v>
      </c>
      <c r="I10" s="197" t="s">
        <v>12</v>
      </c>
      <c r="J10" s="197" t="s">
        <v>85</v>
      </c>
      <c r="K10" s="197" t="s">
        <v>23</v>
      </c>
      <c r="L10" s="197" t="s">
        <v>24</v>
      </c>
      <c r="M10" s="197" t="s">
        <v>25</v>
      </c>
      <c r="N10" s="212" t="s">
        <v>26</v>
      </c>
      <c r="O10" s="195" t="s">
        <v>100</v>
      </c>
      <c r="P10" s="196"/>
      <c r="Q10" s="197" t="s">
        <v>15</v>
      </c>
      <c r="R10" s="212" t="s">
        <v>16</v>
      </c>
      <c r="S10" s="212" t="s">
        <v>8</v>
      </c>
      <c r="T10" s="197" t="s">
        <v>101</v>
      </c>
    </row>
    <row r="11" spans="1:20" s="13" customFormat="1" ht="94.5" customHeight="1">
      <c r="A11" s="211"/>
      <c r="B11" s="198"/>
      <c r="C11" s="198"/>
      <c r="D11" s="198"/>
      <c r="E11" s="199"/>
      <c r="F11" s="199"/>
      <c r="G11" s="198"/>
      <c r="H11" s="198"/>
      <c r="I11" s="198"/>
      <c r="J11" s="198"/>
      <c r="K11" s="198"/>
      <c r="L11" s="198"/>
      <c r="M11" s="198"/>
      <c r="N11" s="213"/>
      <c r="O11" s="40" t="s">
        <v>4</v>
      </c>
      <c r="P11" s="40" t="s">
        <v>5</v>
      </c>
      <c r="Q11" s="198"/>
      <c r="R11" s="213"/>
      <c r="S11" s="213"/>
      <c r="T11" s="19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79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208" t="s">
        <v>17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80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80"/>
      <c r="O15" s="28"/>
      <c r="P15" s="28"/>
      <c r="Q15" s="28"/>
      <c r="R15" s="86"/>
      <c r="S15" s="86"/>
      <c r="T15" s="34"/>
    </row>
    <row r="16" spans="1:20" s="3" customFormat="1" ht="32.25" customHeight="1">
      <c r="A16" s="205" t="s">
        <v>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13938000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81">
        <f>3272000+818000+818000+818000</f>
        <v>5726000</v>
      </c>
      <c r="O17" s="57">
        <f aca="true" t="shared" si="1" ref="O17:O22">J17+L17-N17</f>
        <v>13938000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81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82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1192000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82">
        <f>1480000+296000+296000+296000</f>
        <v>2368000</v>
      </c>
      <c r="O20" s="62">
        <f t="shared" si="1"/>
        <v>1192000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82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7592000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82">
        <f>784000+1300000+1300000+1364000</f>
        <v>4748000</v>
      </c>
      <c r="O22" s="62">
        <f t="shared" si="1"/>
        <v>7592000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25222000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83">
        <f aca="true" t="shared" si="3" ref="N23:T23">N17+N18+N19+N20+N21+N22</f>
        <v>16762000</v>
      </c>
      <c r="O23" s="64">
        <f t="shared" si="3"/>
        <v>25222000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205" t="s">
        <v>19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7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84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84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84"/>
      <c r="O27" s="62">
        <f t="shared" si="5"/>
        <v>15000000</v>
      </c>
      <c r="P27" s="62"/>
      <c r="Q27" s="62"/>
      <c r="R27" s="82">
        <f>594742.01+114959.02+118790.98+118790.98</f>
        <v>947282.99</v>
      </c>
      <c r="S27" s="82">
        <f>594742.01+114959.02+118790.98+118790.98</f>
        <v>947282.99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84"/>
      <c r="O28" s="62">
        <f t="shared" si="5"/>
        <v>5600000</v>
      </c>
      <c r="P28" s="62"/>
      <c r="Q28" s="62"/>
      <c r="R28" s="82">
        <f>174028.42+44585.79+43147.54+44585.79</f>
        <v>306347.54000000004</v>
      </c>
      <c r="S28" s="82">
        <f>174028.42+44585.79+43147.54+44585.79</f>
        <v>306347.54000000004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84"/>
      <c r="O29" s="62">
        <f t="shared" si="5"/>
        <v>10000000</v>
      </c>
      <c r="P29" s="62"/>
      <c r="Q29" s="62"/>
      <c r="R29" s="82">
        <f>171291.76+57097.25+59000.5+59000.5</f>
        <v>346390.01</v>
      </c>
      <c r="S29" s="82">
        <f>171291.76+57097.25+59000.5+59000.5</f>
        <v>346390.01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84"/>
      <c r="O30" s="62">
        <f t="shared" si="5"/>
        <v>10000000</v>
      </c>
      <c r="P30" s="62"/>
      <c r="Q30" s="62"/>
      <c r="R30" s="82">
        <f>33442.62+60983.61+59016.39+60983.61</f>
        <v>214426.22999999998</v>
      </c>
      <c r="S30" s="82">
        <f>33442.62+60983.61+59016.39+60983.61</f>
        <v>214426.22999999998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84"/>
      <c r="O31" s="62">
        <f t="shared" si="5"/>
        <v>26000000</v>
      </c>
      <c r="P31" s="62"/>
      <c r="Q31" s="62"/>
      <c r="R31" s="82">
        <f>66888.91+159504.31+159504.32</f>
        <v>385897.54000000004</v>
      </c>
      <c r="S31" s="82">
        <f>66888.91+159504.31+159504.32</f>
        <v>385897.54000000004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83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2985328.4</v>
      </c>
      <c r="S32" s="83">
        <f>S25+S26+S27+S28+S29+S30+S31</f>
        <v>2985328.4</v>
      </c>
      <c r="T32" s="64">
        <f>T25+T26+T27+T28+T29+T30+T31</f>
        <v>0</v>
      </c>
    </row>
    <row r="33" spans="1:20" s="3" customFormat="1" ht="18.75" customHeight="1">
      <c r="A33" s="205" t="s">
        <v>20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7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80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80"/>
      <c r="O35" s="28"/>
      <c r="P35" s="28"/>
      <c r="Q35" s="28"/>
      <c r="R35" s="86"/>
      <c r="S35" s="86"/>
      <c r="T35" s="34"/>
    </row>
    <row r="36" spans="1:20" s="3" customFormat="1" ht="31.5" customHeight="1">
      <c r="A36" s="205" t="s">
        <v>27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7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80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80"/>
      <c r="O38" s="28"/>
      <c r="P38" s="28"/>
      <c r="Q38" s="28"/>
      <c r="R38" s="86"/>
      <c r="S38" s="86"/>
      <c r="T38" s="34"/>
    </row>
    <row r="39" spans="1:20" s="3" customFormat="1" ht="18.75" customHeight="1">
      <c r="A39" s="200" t="s">
        <v>31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91822000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83">
        <f>N23+N32</f>
        <v>41462000</v>
      </c>
      <c r="O40" s="64">
        <f aca="true" t="shared" si="7" ref="O40:T40">O23+O32</f>
        <v>91822000</v>
      </c>
      <c r="P40" s="64">
        <f t="shared" si="7"/>
        <v>0</v>
      </c>
      <c r="Q40" s="64">
        <f t="shared" si="7"/>
        <v>0</v>
      </c>
      <c r="R40" s="83">
        <f t="shared" si="7"/>
        <v>3068409.1</v>
      </c>
      <c r="S40" s="83">
        <f t="shared" si="7"/>
        <v>3068409.1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85"/>
      <c r="O41" s="20"/>
      <c r="P41" s="20"/>
      <c r="Q41" s="20"/>
      <c r="R41" s="88"/>
      <c r="S41" s="88"/>
      <c r="T41" s="20"/>
    </row>
    <row r="42" spans="1:11" ht="20.2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1" customHeight="1">
      <c r="A46" s="36" t="s">
        <v>71</v>
      </c>
      <c r="B46" s="37"/>
      <c r="C46" s="37"/>
      <c r="D46" s="38"/>
      <c r="E46" s="38"/>
      <c r="F46" s="38"/>
      <c r="G46" s="193" t="s">
        <v>73</v>
      </c>
      <c r="H46" s="194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28">
      <selection activeCell="K29" sqref="K29:K31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89" customWidth="1"/>
    <col min="13" max="13" width="12.125" style="1" customWidth="1"/>
    <col min="14" max="14" width="15.125" style="89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204" t="s">
        <v>86</v>
      </c>
      <c r="T1" s="204"/>
    </row>
    <row r="2" spans="19:20" ht="26.25" customHeight="1">
      <c r="S2" s="204"/>
      <c r="T2" s="204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102</v>
      </c>
      <c r="K3" s="44"/>
      <c r="L3" s="90"/>
      <c r="M3" s="43"/>
      <c r="N3" s="100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91"/>
      <c r="M4" s="3"/>
      <c r="N4" s="91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92"/>
      <c r="M5" s="7"/>
      <c r="N5" s="92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203"/>
      <c r="H7" s="203"/>
      <c r="I7" s="203"/>
      <c r="J7" s="203"/>
      <c r="K7" s="203"/>
      <c r="L7" s="203"/>
      <c r="M7" s="203"/>
      <c r="N7" s="203"/>
      <c r="O7" s="9"/>
      <c r="P7" s="9"/>
    </row>
    <row r="8" ht="5.25" customHeight="1"/>
    <row r="9" ht="15" customHeight="1"/>
    <row r="10" spans="1:20" ht="52.5" customHeight="1">
      <c r="A10" s="211" t="s">
        <v>0</v>
      </c>
      <c r="B10" s="197" t="s">
        <v>13</v>
      </c>
      <c r="C10" s="197" t="s">
        <v>3</v>
      </c>
      <c r="D10" s="197" t="s">
        <v>9</v>
      </c>
      <c r="E10" s="197" t="s">
        <v>14</v>
      </c>
      <c r="F10" s="197" t="s">
        <v>11</v>
      </c>
      <c r="G10" s="197" t="s">
        <v>10</v>
      </c>
      <c r="H10" s="197" t="s">
        <v>6</v>
      </c>
      <c r="I10" s="197" t="s">
        <v>12</v>
      </c>
      <c r="J10" s="197" t="s">
        <v>85</v>
      </c>
      <c r="K10" s="197" t="s">
        <v>23</v>
      </c>
      <c r="L10" s="214" t="s">
        <v>24</v>
      </c>
      <c r="M10" s="197" t="s">
        <v>25</v>
      </c>
      <c r="N10" s="214" t="s">
        <v>26</v>
      </c>
      <c r="O10" s="195" t="s">
        <v>104</v>
      </c>
      <c r="P10" s="196"/>
      <c r="Q10" s="197" t="s">
        <v>15</v>
      </c>
      <c r="R10" s="212" t="s">
        <v>16</v>
      </c>
      <c r="S10" s="212" t="s">
        <v>8</v>
      </c>
      <c r="T10" s="197" t="s">
        <v>105</v>
      </c>
    </row>
    <row r="11" spans="1:20" s="13" customFormat="1" ht="94.5" customHeight="1">
      <c r="A11" s="211"/>
      <c r="B11" s="198"/>
      <c r="C11" s="198"/>
      <c r="D11" s="198"/>
      <c r="E11" s="199"/>
      <c r="F11" s="199"/>
      <c r="G11" s="198"/>
      <c r="H11" s="198"/>
      <c r="I11" s="198"/>
      <c r="J11" s="198"/>
      <c r="K11" s="198"/>
      <c r="L11" s="215"/>
      <c r="M11" s="198"/>
      <c r="N11" s="215"/>
      <c r="O11" s="40" t="s">
        <v>4</v>
      </c>
      <c r="P11" s="40" t="s">
        <v>5</v>
      </c>
      <c r="Q11" s="198"/>
      <c r="R11" s="213"/>
      <c r="S11" s="213"/>
      <c r="T11" s="19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93">
        <v>12</v>
      </c>
      <c r="M12" s="12">
        <v>13</v>
      </c>
      <c r="N12" s="101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208" t="s">
        <v>17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94"/>
      <c r="M14" s="28"/>
      <c r="N14" s="102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94"/>
      <c r="M15" s="24" t="s">
        <v>7</v>
      </c>
      <c r="N15" s="102"/>
      <c r="O15" s="28"/>
      <c r="P15" s="28"/>
      <c r="Q15" s="28"/>
      <c r="R15" s="86"/>
      <c r="S15" s="86"/>
      <c r="T15" s="34"/>
    </row>
    <row r="16" spans="1:20" s="3" customFormat="1" ht="32.25" customHeight="1">
      <c r="A16" s="205" t="s">
        <v>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13120000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95"/>
      <c r="M17" s="61"/>
      <c r="N17" s="103">
        <f>3272000+818000+818000+818000+818000</f>
        <v>6544000</v>
      </c>
      <c r="O17" s="57">
        <f aca="true" t="shared" si="1" ref="O17:O22">J17+L17-N17</f>
        <v>13120000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95"/>
      <c r="M18" s="61" t="s">
        <v>79</v>
      </c>
      <c r="N18" s="103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95"/>
      <c r="M19" s="55" t="s">
        <v>103</v>
      </c>
      <c r="N19" s="104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896000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95"/>
      <c r="M20" s="55"/>
      <c r="N20" s="104">
        <f>1480000+296000+296000+296000+296000</f>
        <v>2664000</v>
      </c>
      <c r="O20" s="62">
        <f t="shared" si="1"/>
        <v>896000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95"/>
      <c r="M21" s="55"/>
      <c r="N21" s="104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5728000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95"/>
      <c r="M22" s="55"/>
      <c r="N22" s="104">
        <f>784000+1300000+1300000+1364000+1864000</f>
        <v>6612000</v>
      </c>
      <c r="O22" s="62">
        <f t="shared" si="1"/>
        <v>5728000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22244000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96">
        <f>L17+L18+L19+L20+L21+L22</f>
        <v>0</v>
      </c>
      <c r="M23" s="24" t="s">
        <v>7</v>
      </c>
      <c r="N23" s="98">
        <f aca="true" t="shared" si="3" ref="N23:T23">N17+N18+N19+N20+N21+N22</f>
        <v>19740000</v>
      </c>
      <c r="O23" s="64">
        <f t="shared" si="3"/>
        <v>22244000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205" t="s">
        <v>19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7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95"/>
      <c r="M25" s="55" t="s">
        <v>80</v>
      </c>
      <c r="N25" s="105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95"/>
      <c r="M26" s="61" t="s">
        <v>95</v>
      </c>
      <c r="N26" s="105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95"/>
      <c r="M27" s="55"/>
      <c r="N27" s="105"/>
      <c r="O27" s="62">
        <f t="shared" si="5"/>
        <v>15000000</v>
      </c>
      <c r="P27" s="62"/>
      <c r="Q27" s="62"/>
      <c r="R27" s="82">
        <f>594742.01+114959.02+118790.98+118790.98+114959.02</f>
        <v>1062242.01</v>
      </c>
      <c r="S27" s="82">
        <f>594742.01+114959.02+118790.98+118790.98+114959.02</f>
        <v>1062242.01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95"/>
      <c r="M28" s="55"/>
      <c r="N28" s="105"/>
      <c r="O28" s="62">
        <f t="shared" si="5"/>
        <v>5600000</v>
      </c>
      <c r="P28" s="62"/>
      <c r="Q28" s="62"/>
      <c r="R28" s="82">
        <f>174028.42+44585.79+43147.54+44585.79+44585.79</f>
        <v>350933.33</v>
      </c>
      <c r="S28" s="82">
        <f>174028.42+44585.79+43147.54+44585.79+44585.79</f>
        <v>350933.33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97">
        <v>10000000</v>
      </c>
      <c r="M29" s="55"/>
      <c r="N29" s="105"/>
      <c r="O29" s="62">
        <f t="shared" si="5"/>
        <v>10000000</v>
      </c>
      <c r="P29" s="62"/>
      <c r="Q29" s="62"/>
      <c r="R29" s="82">
        <f>171291.76+57097.25+59000.5+59000.5+57097.25</f>
        <v>403487.26</v>
      </c>
      <c r="S29" s="82">
        <f>171291.76+57097.25+59000.5+59000.5+57097.25</f>
        <v>403487.26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97">
        <v>10000000</v>
      </c>
      <c r="M30" s="55"/>
      <c r="N30" s="105"/>
      <c r="O30" s="62">
        <f t="shared" si="5"/>
        <v>10000000</v>
      </c>
      <c r="P30" s="62"/>
      <c r="Q30" s="62"/>
      <c r="R30" s="82">
        <f>33442.62+60983.61+59016.39+60983.61+60983.61</f>
        <v>275409.83999999997</v>
      </c>
      <c r="S30" s="82">
        <f>33442.62+60983.61+59016.39+60983.61+60983.61</f>
        <v>275409.83999999997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97">
        <v>26000000</v>
      </c>
      <c r="M31" s="55"/>
      <c r="N31" s="105"/>
      <c r="O31" s="62">
        <f t="shared" si="5"/>
        <v>26000000</v>
      </c>
      <c r="P31" s="62"/>
      <c r="Q31" s="62"/>
      <c r="R31" s="82">
        <f>66888.91+159504.31+159504.32+154359.02</f>
        <v>540256.56</v>
      </c>
      <c r="S31" s="82">
        <f>66888.91+159504.31+159504.32+154359.02</f>
        <v>540256.56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98">
        <f>L25+L26+L27+L28+L29+L30+L31</f>
        <v>46000000</v>
      </c>
      <c r="M32" s="24" t="s">
        <v>7</v>
      </c>
      <c r="N32" s="98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3417313.0900000003</v>
      </c>
      <c r="S32" s="83">
        <f>S25+S26+S27+S28+S29+S30+S31</f>
        <v>3417313.0900000003</v>
      </c>
      <c r="T32" s="64">
        <f>T25+T26+T27+T28+T29+T30+T31</f>
        <v>0</v>
      </c>
    </row>
    <row r="33" spans="1:20" s="3" customFormat="1" ht="18.75" customHeight="1">
      <c r="A33" s="205" t="s">
        <v>20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7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94"/>
      <c r="M34" s="28"/>
      <c r="N34" s="102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94"/>
      <c r="M35" s="24" t="s">
        <v>7</v>
      </c>
      <c r="N35" s="102"/>
      <c r="O35" s="28"/>
      <c r="P35" s="28"/>
      <c r="Q35" s="28"/>
      <c r="R35" s="86"/>
      <c r="S35" s="86"/>
      <c r="T35" s="34"/>
    </row>
    <row r="36" spans="1:20" s="3" customFormat="1" ht="31.5" customHeight="1">
      <c r="A36" s="205" t="s">
        <v>27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7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94"/>
      <c r="M37" s="28"/>
      <c r="N37" s="102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94"/>
      <c r="M38" s="24" t="s">
        <v>7</v>
      </c>
      <c r="N38" s="102"/>
      <c r="O38" s="28"/>
      <c r="P38" s="28"/>
      <c r="Q38" s="28"/>
      <c r="R38" s="86"/>
      <c r="S38" s="86"/>
      <c r="T38" s="34"/>
    </row>
    <row r="39" spans="1:20" s="3" customFormat="1" ht="18.75" customHeight="1">
      <c r="A39" s="200" t="s">
        <v>31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88844000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98">
        <f>L23+L32</f>
        <v>46000000</v>
      </c>
      <c r="M40" s="24" t="s">
        <v>7</v>
      </c>
      <c r="N40" s="98">
        <f>N23+N32</f>
        <v>44440000</v>
      </c>
      <c r="O40" s="64">
        <f aca="true" t="shared" si="7" ref="O40:T40">O23+O32</f>
        <v>88844000</v>
      </c>
      <c r="P40" s="64">
        <f t="shared" si="7"/>
        <v>0</v>
      </c>
      <c r="Q40" s="64">
        <f t="shared" si="7"/>
        <v>0</v>
      </c>
      <c r="R40" s="83">
        <f t="shared" si="7"/>
        <v>3500393.7900000005</v>
      </c>
      <c r="S40" s="83">
        <f t="shared" si="7"/>
        <v>3500393.7900000005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99"/>
      <c r="M41" s="21"/>
      <c r="N41" s="99"/>
      <c r="O41" s="20"/>
      <c r="P41" s="20"/>
      <c r="Q41" s="20"/>
      <c r="R41" s="88"/>
      <c r="S41" s="88"/>
      <c r="T41" s="20"/>
    </row>
    <row r="42" spans="1:11" ht="22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93" t="s">
        <v>73</v>
      </c>
      <c r="H46" s="194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6">
      <selection activeCell="R25" sqref="R25:R31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89" customWidth="1"/>
    <col min="13" max="13" width="12.125" style="1" customWidth="1"/>
    <col min="14" max="14" width="15.125" style="89" customWidth="1"/>
    <col min="15" max="15" width="13.75390625" style="1" customWidth="1"/>
    <col min="16" max="16" width="8.00390625" style="1" customWidth="1"/>
    <col min="17" max="17" width="13.375" style="1" customWidth="1"/>
    <col min="18" max="18" width="14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204" t="s">
        <v>86</v>
      </c>
      <c r="T1" s="204"/>
    </row>
    <row r="2" spans="19:20" ht="26.25" customHeight="1">
      <c r="S2" s="204"/>
      <c r="T2" s="204"/>
    </row>
    <row r="3" spans="1:20" ht="21.75" customHeight="1">
      <c r="A3" s="216" t="s">
        <v>106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91"/>
      <c r="M4" s="3"/>
      <c r="N4" s="91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92"/>
      <c r="M5" s="7"/>
      <c r="N5" s="92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203"/>
      <c r="H7" s="203"/>
      <c r="I7" s="203"/>
      <c r="J7" s="203"/>
      <c r="K7" s="203"/>
      <c r="L7" s="203"/>
      <c r="M7" s="203"/>
      <c r="N7" s="203"/>
      <c r="O7" s="9"/>
      <c r="P7" s="9"/>
    </row>
    <row r="8" ht="5.25" customHeight="1"/>
    <row r="9" ht="15" customHeight="1"/>
    <row r="10" spans="1:20" ht="52.5" customHeight="1">
      <c r="A10" s="211" t="s">
        <v>0</v>
      </c>
      <c r="B10" s="197" t="s">
        <v>13</v>
      </c>
      <c r="C10" s="197" t="s">
        <v>3</v>
      </c>
      <c r="D10" s="197" t="s">
        <v>9</v>
      </c>
      <c r="E10" s="197" t="s">
        <v>14</v>
      </c>
      <c r="F10" s="197" t="s">
        <v>11</v>
      </c>
      <c r="G10" s="197" t="s">
        <v>10</v>
      </c>
      <c r="H10" s="197" t="s">
        <v>6</v>
      </c>
      <c r="I10" s="197" t="s">
        <v>12</v>
      </c>
      <c r="J10" s="197" t="s">
        <v>85</v>
      </c>
      <c r="K10" s="197" t="s">
        <v>23</v>
      </c>
      <c r="L10" s="214" t="s">
        <v>24</v>
      </c>
      <c r="M10" s="197" t="s">
        <v>25</v>
      </c>
      <c r="N10" s="214" t="s">
        <v>26</v>
      </c>
      <c r="O10" s="195" t="s">
        <v>107</v>
      </c>
      <c r="P10" s="196"/>
      <c r="Q10" s="197" t="s">
        <v>15</v>
      </c>
      <c r="R10" s="212" t="s">
        <v>16</v>
      </c>
      <c r="S10" s="212" t="s">
        <v>8</v>
      </c>
      <c r="T10" s="197" t="s">
        <v>108</v>
      </c>
    </row>
    <row r="11" spans="1:20" s="13" customFormat="1" ht="94.5" customHeight="1">
      <c r="A11" s="211"/>
      <c r="B11" s="198"/>
      <c r="C11" s="198"/>
      <c r="D11" s="198"/>
      <c r="E11" s="199"/>
      <c r="F11" s="199"/>
      <c r="G11" s="198"/>
      <c r="H11" s="198"/>
      <c r="I11" s="198"/>
      <c r="J11" s="198"/>
      <c r="K11" s="198"/>
      <c r="L11" s="215"/>
      <c r="M11" s="198"/>
      <c r="N11" s="215"/>
      <c r="O11" s="40" t="s">
        <v>4</v>
      </c>
      <c r="P11" s="40" t="s">
        <v>5</v>
      </c>
      <c r="Q11" s="198"/>
      <c r="R11" s="213"/>
      <c r="S11" s="213"/>
      <c r="T11" s="19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93">
        <v>12</v>
      </c>
      <c r="M12" s="12">
        <v>13</v>
      </c>
      <c r="N12" s="101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208" t="s">
        <v>17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94"/>
      <c r="M14" s="28"/>
      <c r="N14" s="102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94"/>
      <c r="M15" s="24" t="s">
        <v>7</v>
      </c>
      <c r="N15" s="102"/>
      <c r="O15" s="28"/>
      <c r="P15" s="28"/>
      <c r="Q15" s="28"/>
      <c r="R15" s="86"/>
      <c r="S15" s="86"/>
      <c r="T15" s="34"/>
    </row>
    <row r="16" spans="1:20" s="3" customFormat="1" ht="32.25" customHeight="1">
      <c r="A16" s="205" t="s">
        <v>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12302000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95"/>
      <c r="M17" s="61"/>
      <c r="N17" s="107">
        <f>3272000+818000+818000+818000+818000+818000</f>
        <v>7362000</v>
      </c>
      <c r="O17" s="58">
        <f aca="true" t="shared" si="1" ref="O17:O22">J17+L17-N17</f>
        <v>12302000</v>
      </c>
      <c r="P17" s="66"/>
      <c r="Q17" s="66"/>
      <c r="R17" s="106">
        <v>8933.46</v>
      </c>
      <c r="S17" s="106">
        <v>8933.46</v>
      </c>
      <c r="T17" s="108">
        <f aca="true" t="shared" si="2" ref="T17:T22">Q17+R17-S17</f>
        <v>0</v>
      </c>
    </row>
    <row r="18" spans="1:20" s="3" customFormat="1" ht="131.25" customHeight="1">
      <c r="A18" s="109">
        <v>2</v>
      </c>
      <c r="B18" s="110" t="s">
        <v>41</v>
      </c>
      <c r="C18" s="111" t="s">
        <v>34</v>
      </c>
      <c r="D18" s="54">
        <v>20000000</v>
      </c>
      <c r="E18" s="112" t="s">
        <v>36</v>
      </c>
      <c r="F18" s="54">
        <f t="shared" si="0"/>
        <v>0</v>
      </c>
      <c r="G18" s="113" t="s">
        <v>45</v>
      </c>
      <c r="H18" s="114" t="s">
        <v>42</v>
      </c>
      <c r="I18" s="58" t="s">
        <v>43</v>
      </c>
      <c r="J18" s="54">
        <v>3578000</v>
      </c>
      <c r="K18" s="113" t="s">
        <v>44</v>
      </c>
      <c r="L18" s="115"/>
      <c r="M18" s="116" t="s">
        <v>79</v>
      </c>
      <c r="N18" s="107">
        <v>3578000</v>
      </c>
      <c r="O18" s="58">
        <f t="shared" si="1"/>
        <v>0</v>
      </c>
      <c r="P18" s="117"/>
      <c r="Q18" s="117"/>
      <c r="R18" s="118">
        <v>15635.57</v>
      </c>
      <c r="S18" s="118">
        <v>15635.57</v>
      </c>
      <c r="T18" s="119">
        <f t="shared" si="2"/>
        <v>0</v>
      </c>
    </row>
    <row r="19" spans="1:20" s="3" customFormat="1" ht="131.25" customHeight="1">
      <c r="A19" s="109">
        <v>3</v>
      </c>
      <c r="B19" s="110" t="s">
        <v>46</v>
      </c>
      <c r="C19" s="111" t="s">
        <v>34</v>
      </c>
      <c r="D19" s="54">
        <v>1400000</v>
      </c>
      <c r="E19" s="112" t="s">
        <v>36</v>
      </c>
      <c r="F19" s="54">
        <f t="shared" si="0"/>
        <v>0</v>
      </c>
      <c r="G19" s="113" t="s">
        <v>47</v>
      </c>
      <c r="H19" s="114" t="s">
        <v>42</v>
      </c>
      <c r="I19" s="58" t="s">
        <v>43</v>
      </c>
      <c r="J19" s="54">
        <v>342000</v>
      </c>
      <c r="K19" s="113" t="s">
        <v>48</v>
      </c>
      <c r="L19" s="115"/>
      <c r="M19" s="113" t="s">
        <v>103</v>
      </c>
      <c r="N19" s="107">
        <f>230000+46000+66000</f>
        <v>342000</v>
      </c>
      <c r="O19" s="58">
        <f t="shared" si="1"/>
        <v>0</v>
      </c>
      <c r="P19" s="117"/>
      <c r="Q19" s="117"/>
      <c r="R19" s="118">
        <f>36.8+2021.78+43.28</f>
        <v>2101.86</v>
      </c>
      <c r="S19" s="118">
        <f>36.8+2021.78+43.28</f>
        <v>2101.86</v>
      </c>
      <c r="T19" s="119">
        <f t="shared" si="2"/>
        <v>0</v>
      </c>
    </row>
    <row r="20" spans="1:20" s="3" customFormat="1" ht="131.25" customHeight="1">
      <c r="A20" s="109">
        <v>4</v>
      </c>
      <c r="B20" s="110" t="s">
        <v>49</v>
      </c>
      <c r="C20" s="111" t="s">
        <v>34</v>
      </c>
      <c r="D20" s="54">
        <v>10000000</v>
      </c>
      <c r="E20" s="112" t="s">
        <v>36</v>
      </c>
      <c r="F20" s="54">
        <f t="shared" si="0"/>
        <v>600000</v>
      </c>
      <c r="G20" s="113" t="s">
        <v>50</v>
      </c>
      <c r="H20" s="114" t="s">
        <v>38</v>
      </c>
      <c r="I20" s="58" t="s">
        <v>43</v>
      </c>
      <c r="J20" s="54">
        <v>3560000</v>
      </c>
      <c r="K20" s="113" t="s">
        <v>51</v>
      </c>
      <c r="L20" s="115"/>
      <c r="M20" s="113"/>
      <c r="N20" s="107">
        <f>1480000+296000+296000+296000+296000+296000</f>
        <v>2960000</v>
      </c>
      <c r="O20" s="58">
        <f t="shared" si="1"/>
        <v>600000</v>
      </c>
      <c r="P20" s="117"/>
      <c r="Q20" s="117"/>
      <c r="R20" s="118">
        <f>236.8+26137.39</f>
        <v>26374.19</v>
      </c>
      <c r="S20" s="118">
        <f>236.8+26137.39</f>
        <v>26374.19</v>
      </c>
      <c r="T20" s="119">
        <f t="shared" si="2"/>
        <v>0</v>
      </c>
    </row>
    <row r="21" spans="1:20" s="3" customFormat="1" ht="131.25" customHeight="1">
      <c r="A21" s="109">
        <v>5</v>
      </c>
      <c r="B21" s="110" t="s">
        <v>52</v>
      </c>
      <c r="C21" s="111" t="s">
        <v>34</v>
      </c>
      <c r="D21" s="54">
        <v>2500000</v>
      </c>
      <c r="E21" s="112" t="s">
        <v>36</v>
      </c>
      <c r="F21" s="54">
        <f t="shared" si="0"/>
        <v>2500000</v>
      </c>
      <c r="G21" s="113" t="s">
        <v>53</v>
      </c>
      <c r="H21" s="114" t="s">
        <v>54</v>
      </c>
      <c r="I21" s="58" t="s">
        <v>43</v>
      </c>
      <c r="J21" s="54">
        <v>2500000</v>
      </c>
      <c r="K21" s="113" t="s">
        <v>55</v>
      </c>
      <c r="L21" s="115"/>
      <c r="M21" s="113"/>
      <c r="N21" s="107"/>
      <c r="O21" s="58">
        <f t="shared" si="1"/>
        <v>2500000</v>
      </c>
      <c r="P21" s="117"/>
      <c r="Q21" s="117"/>
      <c r="R21" s="118">
        <v>24143.99</v>
      </c>
      <c r="S21" s="118">
        <v>24143.99</v>
      </c>
      <c r="T21" s="119">
        <f t="shared" si="2"/>
        <v>0</v>
      </c>
    </row>
    <row r="22" spans="1:20" s="3" customFormat="1" ht="131.25" customHeight="1">
      <c r="A22" s="109">
        <v>6</v>
      </c>
      <c r="B22" s="110" t="s">
        <v>56</v>
      </c>
      <c r="C22" s="111" t="s">
        <v>34</v>
      </c>
      <c r="D22" s="54">
        <v>12340000</v>
      </c>
      <c r="E22" s="112" t="s">
        <v>36</v>
      </c>
      <c r="F22" s="54">
        <f t="shared" si="0"/>
        <v>4253000</v>
      </c>
      <c r="G22" s="113" t="s">
        <v>37</v>
      </c>
      <c r="H22" s="114" t="s">
        <v>54</v>
      </c>
      <c r="I22" s="58" t="s">
        <v>39</v>
      </c>
      <c r="J22" s="54">
        <v>12340000</v>
      </c>
      <c r="K22" s="113" t="s">
        <v>57</v>
      </c>
      <c r="L22" s="115"/>
      <c r="M22" s="113"/>
      <c r="N22" s="107">
        <f>784000+1300000+1300000+1364000+1864000+1475000</f>
        <v>8087000</v>
      </c>
      <c r="O22" s="58">
        <f t="shared" si="1"/>
        <v>4253000</v>
      </c>
      <c r="P22" s="117"/>
      <c r="Q22" s="117"/>
      <c r="R22" s="118">
        <v>5891.63</v>
      </c>
      <c r="S22" s="118">
        <v>5891.63</v>
      </c>
      <c r="T22" s="119">
        <f t="shared" si="2"/>
        <v>0</v>
      </c>
    </row>
    <row r="23" spans="1:20" s="3" customFormat="1" ht="18.75" customHeight="1">
      <c r="A23" s="120" t="s">
        <v>1</v>
      </c>
      <c r="B23" s="121"/>
      <c r="C23" s="51" t="s">
        <v>7</v>
      </c>
      <c r="D23" s="51" t="s">
        <v>7</v>
      </c>
      <c r="E23" s="51" t="s">
        <v>7</v>
      </c>
      <c r="F23" s="51">
        <f>SUM(F17:F22)</f>
        <v>19655000</v>
      </c>
      <c r="G23" s="51" t="s">
        <v>7</v>
      </c>
      <c r="H23" s="51" t="s">
        <v>7</v>
      </c>
      <c r="I23" s="51" t="s">
        <v>7</v>
      </c>
      <c r="J23" s="51">
        <f>J17+J18+J19+J20+J21+J22</f>
        <v>41984000</v>
      </c>
      <c r="K23" s="51" t="s">
        <v>7</v>
      </c>
      <c r="L23" s="122">
        <f>L17+L18+L19+L20+L21+L22</f>
        <v>0</v>
      </c>
      <c r="M23" s="51" t="s">
        <v>7</v>
      </c>
      <c r="N23" s="122">
        <f aca="true" t="shared" si="3" ref="N23:T23">N17+N18+N19+N20+N21+N22</f>
        <v>22329000</v>
      </c>
      <c r="O23" s="51">
        <f t="shared" si="3"/>
        <v>19655000</v>
      </c>
      <c r="P23" s="51">
        <f t="shared" si="3"/>
        <v>0</v>
      </c>
      <c r="Q23" s="51">
        <f t="shared" si="3"/>
        <v>0</v>
      </c>
      <c r="R23" s="123">
        <f t="shared" si="3"/>
        <v>83080.70000000001</v>
      </c>
      <c r="S23" s="123">
        <f t="shared" si="3"/>
        <v>83080.70000000001</v>
      </c>
      <c r="T23" s="51">
        <f t="shared" si="3"/>
        <v>0</v>
      </c>
    </row>
    <row r="24" spans="1:20" s="3" customFormat="1" ht="31.5" customHeight="1">
      <c r="A24" s="217" t="s">
        <v>19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9"/>
    </row>
    <row r="25" spans="1:20" s="3" customFormat="1" ht="131.25" customHeight="1">
      <c r="A25" s="109">
        <v>1</v>
      </c>
      <c r="B25" s="110" t="s">
        <v>61</v>
      </c>
      <c r="C25" s="111" t="s">
        <v>58</v>
      </c>
      <c r="D25" s="54">
        <v>10000000</v>
      </c>
      <c r="E25" s="112" t="s">
        <v>36</v>
      </c>
      <c r="F25" s="54">
        <f aca="true" t="shared" si="4" ref="F25:F30">O25</f>
        <v>0</v>
      </c>
      <c r="G25" s="113" t="s">
        <v>59</v>
      </c>
      <c r="H25" s="114" t="s">
        <v>54</v>
      </c>
      <c r="I25" s="58">
        <v>9.43</v>
      </c>
      <c r="J25" s="54">
        <v>8700000</v>
      </c>
      <c r="K25" s="113" t="s">
        <v>57</v>
      </c>
      <c r="L25" s="115"/>
      <c r="M25" s="113" t="s">
        <v>80</v>
      </c>
      <c r="N25" s="124">
        <v>8700000</v>
      </c>
      <c r="O25" s="58">
        <f aca="true" t="shared" si="5" ref="O25:O31">J25+L25-N25</f>
        <v>0</v>
      </c>
      <c r="P25" s="58"/>
      <c r="Q25" s="58"/>
      <c r="R25" s="125">
        <v>73828.86</v>
      </c>
      <c r="S25" s="125">
        <v>73828.86</v>
      </c>
      <c r="T25" s="126">
        <f aca="true" t="shared" si="6" ref="T25:T31">Q25+R25-S25</f>
        <v>0</v>
      </c>
    </row>
    <row r="26" spans="1:20" s="3" customFormat="1" ht="131.25" customHeight="1">
      <c r="A26" s="109">
        <v>2</v>
      </c>
      <c r="B26" s="110" t="s">
        <v>63</v>
      </c>
      <c r="C26" s="111" t="s">
        <v>64</v>
      </c>
      <c r="D26" s="54">
        <v>16000000</v>
      </c>
      <c r="E26" s="112" t="s">
        <v>36</v>
      </c>
      <c r="F26" s="54">
        <f t="shared" si="4"/>
        <v>0</v>
      </c>
      <c r="G26" s="113" t="s">
        <v>65</v>
      </c>
      <c r="H26" s="114" t="s">
        <v>54</v>
      </c>
      <c r="I26" s="58">
        <v>9.73</v>
      </c>
      <c r="J26" s="54">
        <v>16000000</v>
      </c>
      <c r="K26" s="113" t="s">
        <v>66</v>
      </c>
      <c r="L26" s="115"/>
      <c r="M26" s="116" t="s">
        <v>95</v>
      </c>
      <c r="N26" s="124">
        <v>16000000</v>
      </c>
      <c r="O26" s="58">
        <f t="shared" si="5"/>
        <v>0</v>
      </c>
      <c r="P26" s="58"/>
      <c r="Q26" s="58"/>
      <c r="R26" s="125">
        <f>634555.89+76599.34</f>
        <v>711155.23</v>
      </c>
      <c r="S26" s="125">
        <f>634555.89+76599.34</f>
        <v>711155.23</v>
      </c>
      <c r="T26" s="126">
        <f t="shared" si="6"/>
        <v>0</v>
      </c>
    </row>
    <row r="27" spans="1:20" s="3" customFormat="1" ht="131.25" customHeight="1">
      <c r="A27" s="109">
        <v>3</v>
      </c>
      <c r="B27" s="110" t="s">
        <v>67</v>
      </c>
      <c r="C27" s="111" t="s">
        <v>68</v>
      </c>
      <c r="D27" s="54">
        <v>15000000</v>
      </c>
      <c r="E27" s="112" t="s">
        <v>36</v>
      </c>
      <c r="F27" s="54">
        <f t="shared" si="4"/>
        <v>15000000</v>
      </c>
      <c r="G27" s="113" t="s">
        <v>69</v>
      </c>
      <c r="H27" s="114" t="s">
        <v>54</v>
      </c>
      <c r="I27" s="58">
        <v>9.35</v>
      </c>
      <c r="J27" s="54">
        <v>15000000</v>
      </c>
      <c r="K27" s="113" t="s">
        <v>76</v>
      </c>
      <c r="L27" s="115"/>
      <c r="M27" s="113"/>
      <c r="N27" s="124"/>
      <c r="O27" s="58">
        <f t="shared" si="5"/>
        <v>15000000</v>
      </c>
      <c r="P27" s="58"/>
      <c r="Q27" s="58"/>
      <c r="R27" s="125">
        <f>594742.01+114959.02+118790.98+118790.98+114959.02+118790.98</f>
        <v>1181032.99</v>
      </c>
      <c r="S27" s="125">
        <f>594742.01+114959.02+118790.98+118790.98+114959.02+118790.98</f>
        <v>1181032.99</v>
      </c>
      <c r="T27" s="126">
        <f t="shared" si="6"/>
        <v>0</v>
      </c>
    </row>
    <row r="28" spans="1:20" s="3" customFormat="1" ht="131.25" customHeight="1">
      <c r="A28" s="109">
        <v>4</v>
      </c>
      <c r="B28" s="110" t="s">
        <v>74</v>
      </c>
      <c r="C28" s="111" t="s">
        <v>58</v>
      </c>
      <c r="D28" s="54">
        <v>5600000</v>
      </c>
      <c r="E28" s="112" t="s">
        <v>36</v>
      </c>
      <c r="F28" s="54">
        <f t="shared" si="4"/>
        <v>5600000</v>
      </c>
      <c r="G28" s="113" t="s">
        <v>62</v>
      </c>
      <c r="H28" s="114" t="s">
        <v>54</v>
      </c>
      <c r="I28" s="58">
        <v>9.4</v>
      </c>
      <c r="J28" s="54">
        <v>5600000</v>
      </c>
      <c r="K28" s="113" t="s">
        <v>75</v>
      </c>
      <c r="L28" s="115"/>
      <c r="M28" s="113"/>
      <c r="N28" s="124"/>
      <c r="O28" s="58">
        <f t="shared" si="5"/>
        <v>5600000</v>
      </c>
      <c r="P28" s="58"/>
      <c r="Q28" s="58"/>
      <c r="R28" s="125">
        <f>174028.42+44585.79+43147.54+44585.79+44585.79+43147.54</f>
        <v>394080.87</v>
      </c>
      <c r="S28" s="125">
        <f>174028.42+44585.79+43147.54+44585.79+44585.79+43147.54</f>
        <v>394080.87</v>
      </c>
      <c r="T28" s="126">
        <f t="shared" si="6"/>
        <v>0</v>
      </c>
    </row>
    <row r="29" spans="1:20" s="3" customFormat="1" ht="131.25" customHeight="1">
      <c r="A29" s="109">
        <v>5</v>
      </c>
      <c r="B29" s="110" t="s">
        <v>77</v>
      </c>
      <c r="C29" s="111" t="s">
        <v>68</v>
      </c>
      <c r="D29" s="54">
        <v>10000000</v>
      </c>
      <c r="E29" s="112" t="s">
        <v>36</v>
      </c>
      <c r="F29" s="54">
        <f t="shared" si="4"/>
        <v>10000000</v>
      </c>
      <c r="G29" s="113" t="s">
        <v>78</v>
      </c>
      <c r="H29" s="114" t="s">
        <v>54</v>
      </c>
      <c r="I29" s="58">
        <v>6.97</v>
      </c>
      <c r="J29" s="54"/>
      <c r="K29" s="60">
        <v>43886</v>
      </c>
      <c r="L29" s="115">
        <v>10000000</v>
      </c>
      <c r="M29" s="113"/>
      <c r="N29" s="124"/>
      <c r="O29" s="58">
        <f t="shared" si="5"/>
        <v>10000000</v>
      </c>
      <c r="P29" s="58"/>
      <c r="Q29" s="58"/>
      <c r="R29" s="125">
        <f>171291.76+57097.25+59000.5+59000.5+57097.25+59000.5</f>
        <v>462487.76</v>
      </c>
      <c r="S29" s="125">
        <f>171291.76+57097.25+59000.5+59000.5+57097.25+59000.5</f>
        <v>462487.76</v>
      </c>
      <c r="T29" s="126">
        <f t="shared" si="6"/>
        <v>0</v>
      </c>
    </row>
    <row r="30" spans="1:20" s="3" customFormat="1" ht="131.25" customHeight="1">
      <c r="A30" s="109">
        <v>6</v>
      </c>
      <c r="B30" s="110" t="s">
        <v>81</v>
      </c>
      <c r="C30" s="111" t="s">
        <v>58</v>
      </c>
      <c r="D30" s="54">
        <v>10000000</v>
      </c>
      <c r="E30" s="112" t="s">
        <v>36</v>
      </c>
      <c r="F30" s="54">
        <f t="shared" si="4"/>
        <v>10000000</v>
      </c>
      <c r="G30" s="60">
        <v>44660</v>
      </c>
      <c r="H30" s="114" t="s">
        <v>54</v>
      </c>
      <c r="I30" s="58">
        <v>7.2</v>
      </c>
      <c r="J30" s="54"/>
      <c r="K30" s="60">
        <v>43930</v>
      </c>
      <c r="L30" s="115">
        <v>10000000</v>
      </c>
      <c r="M30" s="113"/>
      <c r="N30" s="124"/>
      <c r="O30" s="58">
        <f t="shared" si="5"/>
        <v>10000000</v>
      </c>
      <c r="P30" s="58"/>
      <c r="Q30" s="58"/>
      <c r="R30" s="125">
        <f>33442.62+60983.61+59016.39+60983.61+60983.61+59016.39</f>
        <v>334426.23</v>
      </c>
      <c r="S30" s="125">
        <f>33442.62+60983.61+59016.39+60983.61+60983.61+59016.39</f>
        <v>334426.23</v>
      </c>
      <c r="T30" s="126">
        <f t="shared" si="6"/>
        <v>0</v>
      </c>
    </row>
    <row r="31" spans="1:20" s="3" customFormat="1" ht="131.25" customHeight="1">
      <c r="A31" s="127">
        <v>7</v>
      </c>
      <c r="B31" s="110" t="s">
        <v>91</v>
      </c>
      <c r="C31" s="111" t="s">
        <v>92</v>
      </c>
      <c r="D31" s="54">
        <v>26000000</v>
      </c>
      <c r="E31" s="112" t="s">
        <v>36</v>
      </c>
      <c r="F31" s="54">
        <v>26000000</v>
      </c>
      <c r="G31" s="113" t="s">
        <v>93</v>
      </c>
      <c r="H31" s="114" t="s">
        <v>54</v>
      </c>
      <c r="I31" s="58">
        <v>7.24</v>
      </c>
      <c r="J31" s="54"/>
      <c r="K31" s="60" t="s">
        <v>94</v>
      </c>
      <c r="L31" s="115">
        <v>26000000</v>
      </c>
      <c r="M31" s="113"/>
      <c r="N31" s="124"/>
      <c r="O31" s="58">
        <f t="shared" si="5"/>
        <v>26000000</v>
      </c>
      <c r="P31" s="58"/>
      <c r="Q31" s="58"/>
      <c r="R31" s="125">
        <f>66888.91+159504.31+159504.32+154359.02+159504.31</f>
        <v>699760.8700000001</v>
      </c>
      <c r="S31" s="125">
        <f>66888.91+159504.31+159504.32+154359.02+159504.31</f>
        <v>699760.8700000001</v>
      </c>
      <c r="T31" s="58">
        <f t="shared" si="6"/>
        <v>0</v>
      </c>
    </row>
    <row r="32" spans="1:20" s="3" customFormat="1" ht="18.75" customHeight="1">
      <c r="A32" s="120" t="s">
        <v>1</v>
      </c>
      <c r="B32" s="121"/>
      <c r="C32" s="51" t="s">
        <v>7</v>
      </c>
      <c r="D32" s="51" t="s">
        <v>7</v>
      </c>
      <c r="E32" s="51" t="s">
        <v>7</v>
      </c>
      <c r="F32" s="51">
        <f>F25+F26+F27+F28+F29+F30+F31</f>
        <v>66600000</v>
      </c>
      <c r="G32" s="51" t="s">
        <v>7</v>
      </c>
      <c r="H32" s="51" t="s">
        <v>7</v>
      </c>
      <c r="I32" s="51" t="s">
        <v>7</v>
      </c>
      <c r="J32" s="51">
        <f>J25+J26+J27+J28+J29+J30+J31</f>
        <v>45300000</v>
      </c>
      <c r="K32" s="51" t="s">
        <v>7</v>
      </c>
      <c r="L32" s="122">
        <f>L25+L26+L27+L28+L29+L30+L31</f>
        <v>46000000</v>
      </c>
      <c r="M32" s="51" t="s">
        <v>7</v>
      </c>
      <c r="N32" s="122">
        <f>N25+N26+N27+N28+N29+N30+N31</f>
        <v>24700000</v>
      </c>
      <c r="O32" s="51">
        <f>O25+O26+O27+O28+O29+O30+O31</f>
        <v>66600000</v>
      </c>
      <c r="P32" s="51">
        <f>P25+P26+P27+P28+P29+P30</f>
        <v>0</v>
      </c>
      <c r="Q32" s="51">
        <f>Q25+Q26+Q27+Q28+Q29+Q30</f>
        <v>0</v>
      </c>
      <c r="R32" s="123">
        <f>R25+R26+R27+R28+R29+R30+R31</f>
        <v>3856772.81</v>
      </c>
      <c r="S32" s="123">
        <f>S25+S26+S27+S28+S29+S30+S31</f>
        <v>3856772.81</v>
      </c>
      <c r="T32" s="51">
        <f>T25+T26+T27+T28+T29+T30+T31</f>
        <v>0</v>
      </c>
    </row>
    <row r="33" spans="1:20" s="3" customFormat="1" ht="18.75" customHeight="1">
      <c r="A33" s="217" t="s">
        <v>20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9"/>
    </row>
    <row r="34" spans="1:20" s="3" customFormat="1" ht="18.75" customHeight="1">
      <c r="A34" s="109"/>
      <c r="B34" s="121"/>
      <c r="C34" s="128"/>
      <c r="D34" s="51"/>
      <c r="E34" s="129"/>
      <c r="F34" s="129"/>
      <c r="G34" s="130"/>
      <c r="H34" s="131"/>
      <c r="I34" s="117"/>
      <c r="J34" s="132"/>
      <c r="K34" s="117"/>
      <c r="L34" s="115"/>
      <c r="M34" s="117"/>
      <c r="N34" s="133"/>
      <c r="O34" s="117"/>
      <c r="P34" s="117"/>
      <c r="Q34" s="117"/>
      <c r="R34" s="118"/>
      <c r="S34" s="118"/>
      <c r="T34" s="119"/>
    </row>
    <row r="35" spans="1:20" s="3" customFormat="1" ht="18.75" customHeight="1">
      <c r="A35" s="120" t="s">
        <v>1</v>
      </c>
      <c r="B35" s="121"/>
      <c r="C35" s="51" t="s">
        <v>7</v>
      </c>
      <c r="D35" s="51" t="s">
        <v>7</v>
      </c>
      <c r="E35" s="51" t="s">
        <v>7</v>
      </c>
      <c r="F35" s="51"/>
      <c r="G35" s="51" t="s">
        <v>7</v>
      </c>
      <c r="H35" s="51" t="s">
        <v>7</v>
      </c>
      <c r="I35" s="51" t="s">
        <v>7</v>
      </c>
      <c r="J35" s="132"/>
      <c r="K35" s="51" t="s">
        <v>7</v>
      </c>
      <c r="L35" s="115"/>
      <c r="M35" s="51" t="s">
        <v>7</v>
      </c>
      <c r="N35" s="133"/>
      <c r="O35" s="117"/>
      <c r="P35" s="117"/>
      <c r="Q35" s="117"/>
      <c r="R35" s="118"/>
      <c r="S35" s="118"/>
      <c r="T35" s="119"/>
    </row>
    <row r="36" spans="1:20" s="3" customFormat="1" ht="31.5" customHeight="1">
      <c r="A36" s="217" t="s">
        <v>27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9"/>
    </row>
    <row r="37" spans="1:20" s="3" customFormat="1" ht="18.75" customHeight="1">
      <c r="A37" s="109"/>
      <c r="B37" s="121"/>
      <c r="C37" s="128"/>
      <c r="D37" s="51"/>
      <c r="E37" s="129"/>
      <c r="F37" s="129"/>
      <c r="G37" s="130"/>
      <c r="H37" s="131"/>
      <c r="I37" s="117"/>
      <c r="J37" s="132"/>
      <c r="K37" s="117"/>
      <c r="L37" s="115"/>
      <c r="M37" s="117"/>
      <c r="N37" s="133"/>
      <c r="O37" s="117"/>
      <c r="P37" s="117"/>
      <c r="Q37" s="117"/>
      <c r="R37" s="118"/>
      <c r="S37" s="118"/>
      <c r="T37" s="119"/>
    </row>
    <row r="38" spans="1:20" s="3" customFormat="1" ht="18.75" customHeight="1">
      <c r="A38" s="120" t="s">
        <v>1</v>
      </c>
      <c r="B38" s="121"/>
      <c r="C38" s="51" t="s">
        <v>7</v>
      </c>
      <c r="D38" s="51" t="s">
        <v>7</v>
      </c>
      <c r="E38" s="51"/>
      <c r="F38" s="51"/>
      <c r="G38" s="51" t="s">
        <v>7</v>
      </c>
      <c r="H38" s="51" t="s">
        <v>7</v>
      </c>
      <c r="I38" s="51" t="s">
        <v>7</v>
      </c>
      <c r="J38" s="132"/>
      <c r="K38" s="51" t="s">
        <v>7</v>
      </c>
      <c r="L38" s="115"/>
      <c r="M38" s="51" t="s">
        <v>7</v>
      </c>
      <c r="N38" s="133"/>
      <c r="O38" s="117"/>
      <c r="P38" s="117"/>
      <c r="Q38" s="117"/>
      <c r="R38" s="118"/>
      <c r="S38" s="118"/>
      <c r="T38" s="119"/>
    </row>
    <row r="39" spans="1:20" s="3" customFormat="1" ht="18.75" customHeight="1">
      <c r="A39" s="220" t="s">
        <v>31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2"/>
    </row>
    <row r="40" spans="1:20" s="19" customFormat="1" ht="21.75" customHeight="1">
      <c r="A40" s="134"/>
      <c r="B40" s="134"/>
      <c r="C40" s="51" t="s">
        <v>7</v>
      </c>
      <c r="D40" s="51" t="s">
        <v>7</v>
      </c>
      <c r="E40" s="51" t="s">
        <v>7</v>
      </c>
      <c r="F40" s="51">
        <f>F23+F32</f>
        <v>86255000</v>
      </c>
      <c r="G40" s="51" t="s">
        <v>7</v>
      </c>
      <c r="H40" s="51" t="s">
        <v>7</v>
      </c>
      <c r="I40" s="51" t="s">
        <v>7</v>
      </c>
      <c r="J40" s="51">
        <f>J23+J32</f>
        <v>87284000</v>
      </c>
      <c r="K40" s="51" t="s">
        <v>7</v>
      </c>
      <c r="L40" s="122">
        <f>L23+L32</f>
        <v>46000000</v>
      </c>
      <c r="M40" s="51" t="s">
        <v>7</v>
      </c>
      <c r="N40" s="122">
        <f>N23+N32</f>
        <v>47029000</v>
      </c>
      <c r="O40" s="51">
        <f aca="true" t="shared" si="7" ref="O40:T40">O23+O32</f>
        <v>86255000</v>
      </c>
      <c r="P40" s="51">
        <f t="shared" si="7"/>
        <v>0</v>
      </c>
      <c r="Q40" s="51">
        <f t="shared" si="7"/>
        <v>0</v>
      </c>
      <c r="R40" s="123">
        <f t="shared" si="7"/>
        <v>3939853.5100000002</v>
      </c>
      <c r="S40" s="123">
        <f t="shared" si="7"/>
        <v>3939853.5100000002</v>
      </c>
      <c r="T40" s="51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99"/>
      <c r="M41" s="21"/>
      <c r="N41" s="99"/>
      <c r="O41" s="20"/>
      <c r="P41" s="20"/>
      <c r="Q41" s="20"/>
      <c r="R41" s="88"/>
      <c r="S41" s="88"/>
      <c r="T41" s="20"/>
    </row>
    <row r="42" spans="1:11" ht="22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93" t="s">
        <v>73</v>
      </c>
      <c r="H46" s="194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9">
    <mergeCell ref="S1:T2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G46:H46"/>
    <mergeCell ref="O10:P10"/>
    <mergeCell ref="Q10:Q11"/>
    <mergeCell ref="R10:R11"/>
    <mergeCell ref="S10:S11"/>
    <mergeCell ref="T10:T11"/>
    <mergeCell ref="A13:T13"/>
    <mergeCell ref="I10:I11"/>
    <mergeCell ref="J10:J11"/>
    <mergeCell ref="K10:K11"/>
    <mergeCell ref="A3:T3"/>
    <mergeCell ref="A16:T16"/>
    <mergeCell ref="A24:T24"/>
    <mergeCell ref="A33:T33"/>
    <mergeCell ref="A36:T36"/>
    <mergeCell ref="A39:T39"/>
    <mergeCell ref="L10:L11"/>
    <mergeCell ref="M10:M11"/>
    <mergeCell ref="N10:N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23">
      <pane ySplit="1140" topLeftCell="A6" activePane="bottomLeft" state="split"/>
      <selection pane="topLeft" activeCell="R22" sqref="R22"/>
      <selection pane="bottomLeft" activeCell="R28" sqref="R28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89" customWidth="1"/>
    <col min="13" max="13" width="12.125" style="1" customWidth="1"/>
    <col min="14" max="14" width="15.125" style="89" customWidth="1"/>
    <col min="15" max="15" width="13.75390625" style="1" customWidth="1"/>
    <col min="16" max="16" width="8.00390625" style="1" customWidth="1"/>
    <col min="17" max="17" width="13.375" style="1" customWidth="1"/>
    <col min="18" max="18" width="14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204" t="s">
        <v>86</v>
      </c>
      <c r="T1" s="204"/>
    </row>
    <row r="2" spans="19:20" ht="26.25" customHeight="1">
      <c r="S2" s="204"/>
      <c r="T2" s="204"/>
    </row>
    <row r="3" spans="1:20" ht="21.75" customHeight="1">
      <c r="A3" s="216" t="s">
        <v>109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91"/>
      <c r="M4" s="3"/>
      <c r="N4" s="91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92"/>
      <c r="M5" s="7"/>
      <c r="N5" s="92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203"/>
      <c r="H7" s="203"/>
      <c r="I7" s="203"/>
      <c r="J7" s="203"/>
      <c r="K7" s="203"/>
      <c r="L7" s="203"/>
      <c r="M7" s="203"/>
      <c r="N7" s="203"/>
      <c r="O7" s="9"/>
      <c r="P7" s="9"/>
    </row>
    <row r="8" ht="5.25" customHeight="1"/>
    <row r="9" ht="15" customHeight="1"/>
    <row r="10" spans="1:20" ht="52.5" customHeight="1">
      <c r="A10" s="211" t="s">
        <v>0</v>
      </c>
      <c r="B10" s="197" t="s">
        <v>13</v>
      </c>
      <c r="C10" s="197" t="s">
        <v>3</v>
      </c>
      <c r="D10" s="197" t="s">
        <v>9</v>
      </c>
      <c r="E10" s="197" t="s">
        <v>14</v>
      </c>
      <c r="F10" s="197" t="s">
        <v>11</v>
      </c>
      <c r="G10" s="197" t="s">
        <v>10</v>
      </c>
      <c r="H10" s="197" t="s">
        <v>6</v>
      </c>
      <c r="I10" s="197" t="s">
        <v>12</v>
      </c>
      <c r="J10" s="197" t="s">
        <v>85</v>
      </c>
      <c r="K10" s="197" t="s">
        <v>23</v>
      </c>
      <c r="L10" s="214" t="s">
        <v>24</v>
      </c>
      <c r="M10" s="197" t="s">
        <v>25</v>
      </c>
      <c r="N10" s="214" t="s">
        <v>26</v>
      </c>
      <c r="O10" s="195" t="s">
        <v>110</v>
      </c>
      <c r="P10" s="196"/>
      <c r="Q10" s="197" t="s">
        <v>15</v>
      </c>
      <c r="R10" s="212" t="s">
        <v>16</v>
      </c>
      <c r="S10" s="212" t="s">
        <v>8</v>
      </c>
      <c r="T10" s="197" t="s">
        <v>111</v>
      </c>
    </row>
    <row r="11" spans="1:20" s="13" customFormat="1" ht="94.5" customHeight="1">
      <c r="A11" s="211"/>
      <c r="B11" s="198"/>
      <c r="C11" s="198"/>
      <c r="D11" s="198"/>
      <c r="E11" s="199"/>
      <c r="F11" s="199"/>
      <c r="G11" s="198"/>
      <c r="H11" s="198"/>
      <c r="I11" s="198"/>
      <c r="J11" s="198"/>
      <c r="K11" s="198"/>
      <c r="L11" s="215"/>
      <c r="M11" s="198"/>
      <c r="N11" s="215"/>
      <c r="O11" s="40" t="s">
        <v>4</v>
      </c>
      <c r="P11" s="40" t="s">
        <v>5</v>
      </c>
      <c r="Q11" s="198"/>
      <c r="R11" s="213"/>
      <c r="S11" s="213"/>
      <c r="T11" s="19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93">
        <v>12</v>
      </c>
      <c r="M12" s="12">
        <v>13</v>
      </c>
      <c r="N12" s="101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208" t="s">
        <v>17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94"/>
      <c r="M14" s="28"/>
      <c r="N14" s="102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94"/>
      <c r="M15" s="24" t="s">
        <v>7</v>
      </c>
      <c r="N15" s="102"/>
      <c r="O15" s="28"/>
      <c r="P15" s="28"/>
      <c r="Q15" s="28"/>
      <c r="R15" s="86"/>
      <c r="S15" s="86"/>
      <c r="T15" s="34"/>
    </row>
    <row r="16" spans="1:20" s="3" customFormat="1" ht="32.25" customHeight="1">
      <c r="A16" s="205" t="s">
        <v>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11484000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95"/>
      <c r="M17" s="61"/>
      <c r="N17" s="107">
        <f>3272000+818000+818000+818000+818000+818000+818000</f>
        <v>8180000</v>
      </c>
      <c r="O17" s="58">
        <f aca="true" t="shared" si="1" ref="O17:O22">J17+L17-N17</f>
        <v>11484000</v>
      </c>
      <c r="P17" s="66"/>
      <c r="Q17" s="66"/>
      <c r="R17" s="106">
        <v>8933.46</v>
      </c>
      <c r="S17" s="106">
        <v>8933.46</v>
      </c>
      <c r="T17" s="108">
        <f aca="true" t="shared" si="2" ref="T17:T22">Q17+R17-S17</f>
        <v>0</v>
      </c>
    </row>
    <row r="18" spans="1:20" s="3" customFormat="1" ht="131.25" customHeight="1">
      <c r="A18" s="109">
        <v>2</v>
      </c>
      <c r="B18" s="110" t="s">
        <v>41</v>
      </c>
      <c r="C18" s="111" t="s">
        <v>34</v>
      </c>
      <c r="D18" s="54">
        <v>20000000</v>
      </c>
      <c r="E18" s="112" t="s">
        <v>36</v>
      </c>
      <c r="F18" s="54">
        <f t="shared" si="0"/>
        <v>0</v>
      </c>
      <c r="G18" s="113" t="s">
        <v>45</v>
      </c>
      <c r="H18" s="114" t="s">
        <v>42</v>
      </c>
      <c r="I18" s="58" t="s">
        <v>43</v>
      </c>
      <c r="J18" s="54">
        <v>3578000</v>
      </c>
      <c r="K18" s="113" t="s">
        <v>44</v>
      </c>
      <c r="L18" s="115"/>
      <c r="M18" s="116" t="s">
        <v>79</v>
      </c>
      <c r="N18" s="107">
        <v>3578000</v>
      </c>
      <c r="O18" s="58">
        <f t="shared" si="1"/>
        <v>0</v>
      </c>
      <c r="P18" s="117"/>
      <c r="Q18" s="117"/>
      <c r="R18" s="118">
        <v>15635.57</v>
      </c>
      <c r="S18" s="118">
        <v>15635.57</v>
      </c>
      <c r="T18" s="119">
        <f t="shared" si="2"/>
        <v>0</v>
      </c>
    </row>
    <row r="19" spans="1:20" s="3" customFormat="1" ht="131.25" customHeight="1">
      <c r="A19" s="109">
        <v>3</v>
      </c>
      <c r="B19" s="110" t="s">
        <v>46</v>
      </c>
      <c r="C19" s="111" t="s">
        <v>34</v>
      </c>
      <c r="D19" s="54">
        <v>1400000</v>
      </c>
      <c r="E19" s="112" t="s">
        <v>36</v>
      </c>
      <c r="F19" s="54">
        <f t="shared" si="0"/>
        <v>0</v>
      </c>
      <c r="G19" s="113" t="s">
        <v>47</v>
      </c>
      <c r="H19" s="114" t="s">
        <v>42</v>
      </c>
      <c r="I19" s="58" t="s">
        <v>43</v>
      </c>
      <c r="J19" s="54">
        <v>342000</v>
      </c>
      <c r="K19" s="113" t="s">
        <v>48</v>
      </c>
      <c r="L19" s="115"/>
      <c r="M19" s="113" t="s">
        <v>103</v>
      </c>
      <c r="N19" s="107">
        <f>230000+46000+66000</f>
        <v>342000</v>
      </c>
      <c r="O19" s="58">
        <f t="shared" si="1"/>
        <v>0</v>
      </c>
      <c r="P19" s="117"/>
      <c r="Q19" s="117"/>
      <c r="R19" s="118">
        <f>36.8+2021.78+43.28</f>
        <v>2101.86</v>
      </c>
      <c r="S19" s="118">
        <f>36.8+2021.78+43.28</f>
        <v>2101.86</v>
      </c>
      <c r="T19" s="119">
        <f t="shared" si="2"/>
        <v>0</v>
      </c>
    </row>
    <row r="20" spans="1:20" s="3" customFormat="1" ht="131.25" customHeight="1">
      <c r="A20" s="109">
        <v>4</v>
      </c>
      <c r="B20" s="110" t="s">
        <v>49</v>
      </c>
      <c r="C20" s="111" t="s">
        <v>34</v>
      </c>
      <c r="D20" s="54">
        <v>10000000</v>
      </c>
      <c r="E20" s="112" t="s">
        <v>36</v>
      </c>
      <c r="F20" s="54">
        <f t="shared" si="0"/>
        <v>304000</v>
      </c>
      <c r="G20" s="113" t="s">
        <v>50</v>
      </c>
      <c r="H20" s="114" t="s">
        <v>38</v>
      </c>
      <c r="I20" s="58" t="s">
        <v>43</v>
      </c>
      <c r="J20" s="54">
        <v>3560000</v>
      </c>
      <c r="K20" s="113" t="s">
        <v>51</v>
      </c>
      <c r="L20" s="115"/>
      <c r="M20" s="113"/>
      <c r="N20" s="107">
        <f>1480000+296000+296000+296000+296000+296000+296000</f>
        <v>3256000</v>
      </c>
      <c r="O20" s="58">
        <f t="shared" si="1"/>
        <v>304000</v>
      </c>
      <c r="P20" s="117"/>
      <c r="Q20" s="117"/>
      <c r="R20" s="118">
        <f>236.8+26137.39</f>
        <v>26374.19</v>
      </c>
      <c r="S20" s="118">
        <f>236.8+26137.39</f>
        <v>26374.19</v>
      </c>
      <c r="T20" s="119">
        <f t="shared" si="2"/>
        <v>0</v>
      </c>
    </row>
    <row r="21" spans="1:20" s="3" customFormat="1" ht="131.25" customHeight="1">
      <c r="A21" s="109">
        <v>5</v>
      </c>
      <c r="B21" s="110" t="s">
        <v>52</v>
      </c>
      <c r="C21" s="111" t="s">
        <v>34</v>
      </c>
      <c r="D21" s="54">
        <v>2500000</v>
      </c>
      <c r="E21" s="112" t="s">
        <v>36</v>
      </c>
      <c r="F21" s="54">
        <f t="shared" si="0"/>
        <v>2500000</v>
      </c>
      <c r="G21" s="113" t="s">
        <v>53</v>
      </c>
      <c r="H21" s="114" t="s">
        <v>54</v>
      </c>
      <c r="I21" s="58" t="s">
        <v>43</v>
      </c>
      <c r="J21" s="54">
        <v>2500000</v>
      </c>
      <c r="K21" s="113" t="s">
        <v>55</v>
      </c>
      <c r="L21" s="115"/>
      <c r="M21" s="113"/>
      <c r="N21" s="107"/>
      <c r="O21" s="58">
        <f t="shared" si="1"/>
        <v>2500000</v>
      </c>
      <c r="P21" s="117"/>
      <c r="Q21" s="117"/>
      <c r="R21" s="118">
        <v>24143.99</v>
      </c>
      <c r="S21" s="118">
        <v>24143.99</v>
      </c>
      <c r="T21" s="119">
        <f t="shared" si="2"/>
        <v>0</v>
      </c>
    </row>
    <row r="22" spans="1:20" s="3" customFormat="1" ht="131.25" customHeight="1">
      <c r="A22" s="109">
        <v>6</v>
      </c>
      <c r="B22" s="110" t="s">
        <v>56</v>
      </c>
      <c r="C22" s="111" t="s">
        <v>34</v>
      </c>
      <c r="D22" s="54">
        <v>12340000</v>
      </c>
      <c r="E22" s="112" t="s">
        <v>36</v>
      </c>
      <c r="F22" s="54">
        <f t="shared" si="0"/>
        <v>2778000</v>
      </c>
      <c r="G22" s="113" t="s">
        <v>37</v>
      </c>
      <c r="H22" s="114" t="s">
        <v>54</v>
      </c>
      <c r="I22" s="58" t="s">
        <v>39</v>
      </c>
      <c r="J22" s="54">
        <v>12340000</v>
      </c>
      <c r="K22" s="113" t="s">
        <v>57</v>
      </c>
      <c r="L22" s="115"/>
      <c r="M22" s="113"/>
      <c r="N22" s="107">
        <f>784000+1300000+1300000+1364000+1864000+1475000+1475000</f>
        <v>9562000</v>
      </c>
      <c r="O22" s="58">
        <f t="shared" si="1"/>
        <v>2778000</v>
      </c>
      <c r="P22" s="117"/>
      <c r="Q22" s="117"/>
      <c r="R22" s="118">
        <v>5891.63</v>
      </c>
      <c r="S22" s="118">
        <v>5891.63</v>
      </c>
      <c r="T22" s="119">
        <f t="shared" si="2"/>
        <v>0</v>
      </c>
    </row>
    <row r="23" spans="1:20" s="3" customFormat="1" ht="18.75" customHeight="1">
      <c r="A23" s="120" t="s">
        <v>1</v>
      </c>
      <c r="B23" s="121"/>
      <c r="C23" s="51" t="s">
        <v>7</v>
      </c>
      <c r="D23" s="51" t="s">
        <v>7</v>
      </c>
      <c r="E23" s="51" t="s">
        <v>7</v>
      </c>
      <c r="F23" s="51">
        <f>SUM(F17:F22)</f>
        <v>17066000</v>
      </c>
      <c r="G23" s="51" t="s">
        <v>7</v>
      </c>
      <c r="H23" s="51" t="s">
        <v>7</v>
      </c>
      <c r="I23" s="51" t="s">
        <v>7</v>
      </c>
      <c r="J23" s="51">
        <f>J17+J18+J19+J20+J21+J22</f>
        <v>41984000</v>
      </c>
      <c r="K23" s="51" t="s">
        <v>7</v>
      </c>
      <c r="L23" s="122">
        <f>L17+L18+L19+L20+L21+L22</f>
        <v>0</v>
      </c>
      <c r="M23" s="51" t="s">
        <v>7</v>
      </c>
      <c r="N23" s="122">
        <f aca="true" t="shared" si="3" ref="N23:T23">N17+N18+N19+N20+N21+N22</f>
        <v>24918000</v>
      </c>
      <c r="O23" s="51">
        <f t="shared" si="3"/>
        <v>17066000</v>
      </c>
      <c r="P23" s="51">
        <f t="shared" si="3"/>
        <v>0</v>
      </c>
      <c r="Q23" s="51">
        <f t="shared" si="3"/>
        <v>0</v>
      </c>
      <c r="R23" s="123">
        <f t="shared" si="3"/>
        <v>83080.70000000001</v>
      </c>
      <c r="S23" s="123">
        <f t="shared" si="3"/>
        <v>83080.70000000001</v>
      </c>
      <c r="T23" s="51">
        <f t="shared" si="3"/>
        <v>0</v>
      </c>
    </row>
    <row r="24" spans="1:20" s="3" customFormat="1" ht="31.5" customHeight="1">
      <c r="A24" s="217" t="s">
        <v>19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9"/>
    </row>
    <row r="25" spans="1:20" s="3" customFormat="1" ht="131.25" customHeight="1">
      <c r="A25" s="109">
        <v>1</v>
      </c>
      <c r="B25" s="110" t="s">
        <v>61</v>
      </c>
      <c r="C25" s="111" t="s">
        <v>58</v>
      </c>
      <c r="D25" s="54">
        <v>10000000</v>
      </c>
      <c r="E25" s="112" t="s">
        <v>36</v>
      </c>
      <c r="F25" s="54">
        <f aca="true" t="shared" si="4" ref="F25:F30">O25</f>
        <v>0</v>
      </c>
      <c r="G25" s="113" t="s">
        <v>59</v>
      </c>
      <c r="H25" s="114" t="s">
        <v>54</v>
      </c>
      <c r="I25" s="58">
        <v>9.43</v>
      </c>
      <c r="J25" s="54">
        <v>8700000</v>
      </c>
      <c r="K25" s="113" t="s">
        <v>57</v>
      </c>
      <c r="L25" s="115"/>
      <c r="M25" s="113" t="s">
        <v>80</v>
      </c>
      <c r="N25" s="124">
        <v>8700000</v>
      </c>
      <c r="O25" s="58">
        <f aca="true" t="shared" si="5" ref="O25:O31">J25+L25-N25</f>
        <v>0</v>
      </c>
      <c r="P25" s="58"/>
      <c r="Q25" s="58"/>
      <c r="R25" s="125">
        <v>73828.86</v>
      </c>
      <c r="S25" s="125">
        <v>73828.86</v>
      </c>
      <c r="T25" s="126">
        <f aca="true" t="shared" si="6" ref="T25:T31">Q25+R25-S25</f>
        <v>0</v>
      </c>
    </row>
    <row r="26" spans="1:20" s="3" customFormat="1" ht="131.25" customHeight="1">
      <c r="A26" s="109">
        <v>2</v>
      </c>
      <c r="B26" s="110" t="s">
        <v>63</v>
      </c>
      <c r="C26" s="111" t="s">
        <v>64</v>
      </c>
      <c r="D26" s="54">
        <v>16000000</v>
      </c>
      <c r="E26" s="112" t="s">
        <v>36</v>
      </c>
      <c r="F26" s="54">
        <f t="shared" si="4"/>
        <v>0</v>
      </c>
      <c r="G26" s="113" t="s">
        <v>65</v>
      </c>
      <c r="H26" s="114" t="s">
        <v>54</v>
      </c>
      <c r="I26" s="58">
        <v>9.73</v>
      </c>
      <c r="J26" s="54">
        <v>16000000</v>
      </c>
      <c r="K26" s="113" t="s">
        <v>66</v>
      </c>
      <c r="L26" s="115"/>
      <c r="M26" s="116" t="s">
        <v>95</v>
      </c>
      <c r="N26" s="124">
        <v>16000000</v>
      </c>
      <c r="O26" s="58">
        <f t="shared" si="5"/>
        <v>0</v>
      </c>
      <c r="P26" s="58"/>
      <c r="Q26" s="58"/>
      <c r="R26" s="125">
        <f>634555.89+76599.34</f>
        <v>711155.23</v>
      </c>
      <c r="S26" s="125">
        <f>634555.89+76599.34</f>
        <v>711155.23</v>
      </c>
      <c r="T26" s="126">
        <f t="shared" si="6"/>
        <v>0</v>
      </c>
    </row>
    <row r="27" spans="1:20" s="3" customFormat="1" ht="131.25" customHeight="1">
      <c r="A27" s="109">
        <v>3</v>
      </c>
      <c r="B27" s="110" t="s">
        <v>67</v>
      </c>
      <c r="C27" s="111" t="s">
        <v>68</v>
      </c>
      <c r="D27" s="54">
        <v>15000000</v>
      </c>
      <c r="E27" s="112" t="s">
        <v>36</v>
      </c>
      <c r="F27" s="54">
        <f t="shared" si="4"/>
        <v>15000000</v>
      </c>
      <c r="G27" s="113" t="s">
        <v>69</v>
      </c>
      <c r="H27" s="114" t="s">
        <v>54</v>
      </c>
      <c r="I27" s="58">
        <v>9.35</v>
      </c>
      <c r="J27" s="54">
        <v>15000000</v>
      </c>
      <c r="K27" s="113" t="s">
        <v>76</v>
      </c>
      <c r="L27" s="115"/>
      <c r="M27" s="113"/>
      <c r="N27" s="124"/>
      <c r="O27" s="58">
        <f t="shared" si="5"/>
        <v>15000000</v>
      </c>
      <c r="P27" s="58"/>
      <c r="Q27" s="58"/>
      <c r="R27" s="125">
        <f>594742.01+114959.02+118790.98+118790.98+114959.02+118790.98+114959.02</f>
        <v>1295992.01</v>
      </c>
      <c r="S27" s="125">
        <f>594742.01+114959.02+118790.98+118790.98+114959.02+118790.98+114959.02</f>
        <v>1295992.01</v>
      </c>
      <c r="T27" s="126">
        <f t="shared" si="6"/>
        <v>0</v>
      </c>
    </row>
    <row r="28" spans="1:20" s="3" customFormat="1" ht="131.25" customHeight="1">
      <c r="A28" s="109">
        <v>4</v>
      </c>
      <c r="B28" s="110" t="s">
        <v>74</v>
      </c>
      <c r="C28" s="111" t="s">
        <v>58</v>
      </c>
      <c r="D28" s="54">
        <v>5600000</v>
      </c>
      <c r="E28" s="112" t="s">
        <v>36</v>
      </c>
      <c r="F28" s="54">
        <f t="shared" si="4"/>
        <v>5600000</v>
      </c>
      <c r="G28" s="113" t="s">
        <v>62</v>
      </c>
      <c r="H28" s="114" t="s">
        <v>54</v>
      </c>
      <c r="I28" s="58">
        <v>9.4</v>
      </c>
      <c r="J28" s="54">
        <v>5600000</v>
      </c>
      <c r="K28" s="113" t="s">
        <v>75</v>
      </c>
      <c r="L28" s="115"/>
      <c r="M28" s="113"/>
      <c r="N28" s="124"/>
      <c r="O28" s="58">
        <f t="shared" si="5"/>
        <v>5600000</v>
      </c>
      <c r="P28" s="58"/>
      <c r="Q28" s="58"/>
      <c r="R28" s="125">
        <f>174028.42+44585.79+43147.54+44585.79+44585.79+43147.54+44585.8</f>
        <v>438666.67</v>
      </c>
      <c r="S28" s="125">
        <f>174028.42+44585.79+43147.54+44585.79+44585.79+43147.54+44585.8</f>
        <v>438666.67</v>
      </c>
      <c r="T28" s="126">
        <f t="shared" si="6"/>
        <v>0</v>
      </c>
    </row>
    <row r="29" spans="1:20" s="3" customFormat="1" ht="131.25" customHeight="1">
      <c r="A29" s="109">
        <v>5</v>
      </c>
      <c r="B29" s="110" t="s">
        <v>77</v>
      </c>
      <c r="C29" s="111" t="s">
        <v>68</v>
      </c>
      <c r="D29" s="54">
        <v>10000000</v>
      </c>
      <c r="E29" s="112" t="s">
        <v>36</v>
      </c>
      <c r="F29" s="54">
        <f t="shared" si="4"/>
        <v>10000000</v>
      </c>
      <c r="G29" s="113" t="s">
        <v>78</v>
      </c>
      <c r="H29" s="114" t="s">
        <v>54</v>
      </c>
      <c r="I29" s="58">
        <v>6.97</v>
      </c>
      <c r="J29" s="54"/>
      <c r="K29" s="60">
        <v>43886</v>
      </c>
      <c r="L29" s="115">
        <v>10000000</v>
      </c>
      <c r="M29" s="113"/>
      <c r="N29" s="124"/>
      <c r="O29" s="58">
        <f t="shared" si="5"/>
        <v>10000000</v>
      </c>
      <c r="P29" s="58"/>
      <c r="Q29" s="58"/>
      <c r="R29" s="125">
        <f>171291.76+57097.25+59000.5+59000.5+57097.25+59000.5+57097.25</f>
        <v>519585.01</v>
      </c>
      <c r="S29" s="125">
        <f>171291.76+57097.25+59000.5+59000.5+57097.25+59000.5+57097.25</f>
        <v>519585.01</v>
      </c>
      <c r="T29" s="126">
        <f t="shared" si="6"/>
        <v>0</v>
      </c>
    </row>
    <row r="30" spans="1:20" s="3" customFormat="1" ht="131.25" customHeight="1">
      <c r="A30" s="109">
        <v>6</v>
      </c>
      <c r="B30" s="110" t="s">
        <v>81</v>
      </c>
      <c r="C30" s="111" t="s">
        <v>58</v>
      </c>
      <c r="D30" s="54">
        <v>10000000</v>
      </c>
      <c r="E30" s="112" t="s">
        <v>36</v>
      </c>
      <c r="F30" s="54">
        <f t="shared" si="4"/>
        <v>10000000</v>
      </c>
      <c r="G30" s="60">
        <v>44660</v>
      </c>
      <c r="H30" s="114" t="s">
        <v>54</v>
      </c>
      <c r="I30" s="58">
        <v>7.2</v>
      </c>
      <c r="J30" s="54"/>
      <c r="K30" s="60">
        <v>43930</v>
      </c>
      <c r="L30" s="115">
        <v>10000000</v>
      </c>
      <c r="M30" s="113"/>
      <c r="N30" s="124"/>
      <c r="O30" s="58">
        <f t="shared" si="5"/>
        <v>10000000</v>
      </c>
      <c r="P30" s="58"/>
      <c r="Q30" s="58"/>
      <c r="R30" s="125">
        <f>33442.62+60983.61+59016.39+60983.61+60983.61+59016.39+60983.61</f>
        <v>395409.83999999997</v>
      </c>
      <c r="S30" s="125">
        <f>33442.62+60983.61+59016.39+60983.61+60983.61+59016.39+60983.61</f>
        <v>395409.83999999997</v>
      </c>
      <c r="T30" s="126">
        <f t="shared" si="6"/>
        <v>0</v>
      </c>
    </row>
    <row r="31" spans="1:20" s="3" customFormat="1" ht="131.25" customHeight="1">
      <c r="A31" s="127">
        <v>7</v>
      </c>
      <c r="B31" s="110" t="s">
        <v>91</v>
      </c>
      <c r="C31" s="111" t="s">
        <v>92</v>
      </c>
      <c r="D31" s="54">
        <v>26000000</v>
      </c>
      <c r="E31" s="112" t="s">
        <v>36</v>
      </c>
      <c r="F31" s="54">
        <v>26000000</v>
      </c>
      <c r="G31" s="113" t="s">
        <v>93</v>
      </c>
      <c r="H31" s="114" t="s">
        <v>54</v>
      </c>
      <c r="I31" s="58">
        <v>7.24</v>
      </c>
      <c r="J31" s="54"/>
      <c r="K31" s="60" t="s">
        <v>94</v>
      </c>
      <c r="L31" s="115">
        <v>26000000</v>
      </c>
      <c r="M31" s="113"/>
      <c r="N31" s="124"/>
      <c r="O31" s="58">
        <f t="shared" si="5"/>
        <v>26000000</v>
      </c>
      <c r="P31" s="58"/>
      <c r="Q31" s="58"/>
      <c r="R31" s="125">
        <f>66888.91+159504.31+159504.32+154359.02+159504.31+154359.02</f>
        <v>854119.8900000001</v>
      </c>
      <c r="S31" s="125">
        <f>66888.91+159504.31+159504.32+154359.02+159504.31+154359.02</f>
        <v>854119.8900000001</v>
      </c>
      <c r="T31" s="58">
        <f t="shared" si="6"/>
        <v>0</v>
      </c>
    </row>
    <row r="32" spans="1:20" s="3" customFormat="1" ht="18.75" customHeight="1">
      <c r="A32" s="120" t="s">
        <v>1</v>
      </c>
      <c r="B32" s="121"/>
      <c r="C32" s="51" t="s">
        <v>7</v>
      </c>
      <c r="D32" s="51" t="s">
        <v>7</v>
      </c>
      <c r="E32" s="51" t="s">
        <v>7</v>
      </c>
      <c r="F32" s="51">
        <f>F25+F26+F27+F28+F29+F30+F31</f>
        <v>66600000</v>
      </c>
      <c r="G32" s="51" t="s">
        <v>7</v>
      </c>
      <c r="H32" s="51" t="s">
        <v>7</v>
      </c>
      <c r="I32" s="51" t="s">
        <v>7</v>
      </c>
      <c r="J32" s="51">
        <f>J25+J26+J27+J28+J29+J30+J31</f>
        <v>45300000</v>
      </c>
      <c r="K32" s="51" t="s">
        <v>7</v>
      </c>
      <c r="L32" s="122">
        <f>L25+L26+L27+L28+L29+L30+L31</f>
        <v>46000000</v>
      </c>
      <c r="M32" s="51" t="s">
        <v>7</v>
      </c>
      <c r="N32" s="122">
        <f>N25+N26+N27+N28+N29+N30+N31</f>
        <v>24700000</v>
      </c>
      <c r="O32" s="51">
        <f>O25+O26+O27+O28+O29+O30+O31</f>
        <v>66600000</v>
      </c>
      <c r="P32" s="51">
        <f>P25+P26+P27+P28+P29+P30</f>
        <v>0</v>
      </c>
      <c r="Q32" s="51">
        <f>Q25+Q26+Q27+Q28+Q29+Q30</f>
        <v>0</v>
      </c>
      <c r="R32" s="123">
        <f>R25+R26+R27+R28+R29+R30+R31</f>
        <v>4288757.51</v>
      </c>
      <c r="S32" s="123">
        <f>S25+S26+S27+S28+S29+S30+S31</f>
        <v>4288757.51</v>
      </c>
      <c r="T32" s="51">
        <f>T25+T26+T27+T28+T29+T30+T31</f>
        <v>0</v>
      </c>
    </row>
    <row r="33" spans="1:20" s="3" customFormat="1" ht="18.75" customHeight="1">
      <c r="A33" s="217" t="s">
        <v>20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9"/>
    </row>
    <row r="34" spans="1:20" s="3" customFormat="1" ht="18.75" customHeight="1">
      <c r="A34" s="109"/>
      <c r="B34" s="121"/>
      <c r="C34" s="128"/>
      <c r="D34" s="51"/>
      <c r="E34" s="129"/>
      <c r="F34" s="129"/>
      <c r="G34" s="130"/>
      <c r="H34" s="131"/>
      <c r="I34" s="117"/>
      <c r="J34" s="132"/>
      <c r="K34" s="117"/>
      <c r="L34" s="115"/>
      <c r="M34" s="117"/>
      <c r="N34" s="133"/>
      <c r="O34" s="117"/>
      <c r="P34" s="117"/>
      <c r="Q34" s="117"/>
      <c r="R34" s="118"/>
      <c r="S34" s="118"/>
      <c r="T34" s="119"/>
    </row>
    <row r="35" spans="1:20" s="3" customFormat="1" ht="18.75" customHeight="1">
      <c r="A35" s="120" t="s">
        <v>1</v>
      </c>
      <c r="B35" s="121"/>
      <c r="C35" s="51" t="s">
        <v>7</v>
      </c>
      <c r="D35" s="51" t="s">
        <v>7</v>
      </c>
      <c r="E35" s="51" t="s">
        <v>7</v>
      </c>
      <c r="F35" s="51"/>
      <c r="G35" s="51" t="s">
        <v>7</v>
      </c>
      <c r="H35" s="51" t="s">
        <v>7</v>
      </c>
      <c r="I35" s="51" t="s">
        <v>7</v>
      </c>
      <c r="J35" s="132"/>
      <c r="K35" s="51" t="s">
        <v>7</v>
      </c>
      <c r="L35" s="115"/>
      <c r="M35" s="51" t="s">
        <v>7</v>
      </c>
      <c r="N35" s="133"/>
      <c r="O35" s="117"/>
      <c r="P35" s="117"/>
      <c r="Q35" s="117"/>
      <c r="R35" s="118"/>
      <c r="S35" s="118"/>
      <c r="T35" s="119"/>
    </row>
    <row r="36" spans="1:20" s="3" customFormat="1" ht="31.5" customHeight="1">
      <c r="A36" s="217" t="s">
        <v>27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9"/>
    </row>
    <row r="37" spans="1:20" s="3" customFormat="1" ht="18.75" customHeight="1">
      <c r="A37" s="109"/>
      <c r="B37" s="121"/>
      <c r="C37" s="128"/>
      <c r="D37" s="51"/>
      <c r="E37" s="129"/>
      <c r="F37" s="129"/>
      <c r="G37" s="130"/>
      <c r="H37" s="131"/>
      <c r="I37" s="117"/>
      <c r="J37" s="132"/>
      <c r="K37" s="117"/>
      <c r="L37" s="115"/>
      <c r="M37" s="117"/>
      <c r="N37" s="133"/>
      <c r="O37" s="117"/>
      <c r="P37" s="117"/>
      <c r="Q37" s="117"/>
      <c r="R37" s="118"/>
      <c r="S37" s="118"/>
      <c r="T37" s="119"/>
    </row>
    <row r="38" spans="1:20" s="3" customFormat="1" ht="18.75" customHeight="1">
      <c r="A38" s="120" t="s">
        <v>1</v>
      </c>
      <c r="B38" s="121"/>
      <c r="C38" s="51" t="s">
        <v>7</v>
      </c>
      <c r="D38" s="51" t="s">
        <v>7</v>
      </c>
      <c r="E38" s="51"/>
      <c r="F38" s="51"/>
      <c r="G38" s="51" t="s">
        <v>7</v>
      </c>
      <c r="H38" s="51" t="s">
        <v>7</v>
      </c>
      <c r="I38" s="51" t="s">
        <v>7</v>
      </c>
      <c r="J38" s="132"/>
      <c r="K38" s="51" t="s">
        <v>7</v>
      </c>
      <c r="L38" s="115"/>
      <c r="M38" s="51" t="s">
        <v>7</v>
      </c>
      <c r="N38" s="133"/>
      <c r="O38" s="117"/>
      <c r="P38" s="117"/>
      <c r="Q38" s="117"/>
      <c r="R38" s="118"/>
      <c r="S38" s="118"/>
      <c r="T38" s="119"/>
    </row>
    <row r="39" spans="1:20" s="3" customFormat="1" ht="18.75" customHeight="1">
      <c r="A39" s="220" t="s">
        <v>31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2"/>
    </row>
    <row r="40" spans="1:20" s="19" customFormat="1" ht="21.75" customHeight="1">
      <c r="A40" s="134"/>
      <c r="B40" s="134"/>
      <c r="C40" s="51" t="s">
        <v>7</v>
      </c>
      <c r="D40" s="51" t="s">
        <v>7</v>
      </c>
      <c r="E40" s="51" t="s">
        <v>7</v>
      </c>
      <c r="F40" s="51">
        <f>F23+F32</f>
        <v>83666000</v>
      </c>
      <c r="G40" s="51" t="s">
        <v>7</v>
      </c>
      <c r="H40" s="51" t="s">
        <v>7</v>
      </c>
      <c r="I40" s="51" t="s">
        <v>7</v>
      </c>
      <c r="J40" s="51">
        <f>J23+J32</f>
        <v>87284000</v>
      </c>
      <c r="K40" s="51" t="s">
        <v>7</v>
      </c>
      <c r="L40" s="122">
        <f>L23+L32</f>
        <v>46000000</v>
      </c>
      <c r="M40" s="51" t="s">
        <v>7</v>
      </c>
      <c r="N40" s="122">
        <f>N23+N32</f>
        <v>49618000</v>
      </c>
      <c r="O40" s="51">
        <f aca="true" t="shared" si="7" ref="O40:T40">O23+O32</f>
        <v>83666000</v>
      </c>
      <c r="P40" s="51">
        <f t="shared" si="7"/>
        <v>0</v>
      </c>
      <c r="Q40" s="51">
        <f t="shared" si="7"/>
        <v>0</v>
      </c>
      <c r="R40" s="123">
        <f t="shared" si="7"/>
        <v>4371838.21</v>
      </c>
      <c r="S40" s="123">
        <f t="shared" si="7"/>
        <v>4371838.21</v>
      </c>
      <c r="T40" s="51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99"/>
      <c r="M41" s="21"/>
      <c r="N41" s="99"/>
      <c r="O41" s="20"/>
      <c r="P41" s="20"/>
      <c r="Q41" s="20"/>
      <c r="R41" s="88"/>
      <c r="S41" s="88"/>
      <c r="T41" s="20"/>
    </row>
    <row r="42" spans="1:11" ht="22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93" t="s">
        <v>73</v>
      </c>
      <c r="H46" s="194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6:H46"/>
    <mergeCell ref="A13:T13"/>
    <mergeCell ref="A16:T16"/>
    <mergeCell ref="A24:T24"/>
    <mergeCell ref="A33:T33"/>
    <mergeCell ref="A36:T36"/>
    <mergeCell ref="A39:T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PageLayoutView="0" workbookViewId="0" topLeftCell="A11">
      <pane ySplit="2355" topLeftCell="A34" activePane="bottomLeft" state="split"/>
      <selection pane="topLeft" activeCell="A11" sqref="A11"/>
      <selection pane="bottomLeft" activeCell="A32" sqref="A32"/>
    </sheetView>
  </sheetViews>
  <sheetFormatPr defaultColWidth="9.00390625" defaultRowHeight="12.75"/>
  <cols>
    <col min="1" max="1" width="4.25390625" style="75" customWidth="1"/>
    <col min="2" max="2" width="13.25390625" style="136" customWidth="1"/>
    <col min="3" max="3" width="10.375" style="136" customWidth="1"/>
    <col min="4" max="4" width="13.375" style="137" customWidth="1"/>
    <col min="5" max="5" width="12.00390625" style="137" customWidth="1"/>
    <col min="6" max="6" width="13.375" style="137" customWidth="1"/>
    <col min="7" max="7" width="11.375" style="138" customWidth="1"/>
    <col min="8" max="8" width="12.125" style="138" customWidth="1"/>
    <col min="9" max="10" width="14.625" style="75" customWidth="1"/>
    <col min="11" max="11" width="12.25390625" style="75" customWidth="1"/>
    <col min="12" max="12" width="14.625" style="75" customWidth="1"/>
    <col min="13" max="13" width="12.125" style="75" customWidth="1"/>
    <col min="14" max="14" width="15.125" style="75" customWidth="1"/>
    <col min="15" max="15" width="13.75390625" style="75" customWidth="1"/>
    <col min="16" max="16" width="8.00390625" style="75" customWidth="1"/>
    <col min="17" max="17" width="13.375" style="75" customWidth="1"/>
    <col min="18" max="18" width="14.125" style="75" customWidth="1"/>
    <col min="19" max="19" width="12.875" style="75" customWidth="1"/>
    <col min="20" max="20" width="12.125" style="75" customWidth="1"/>
    <col min="21" max="16384" width="9.125" style="75" customWidth="1"/>
  </cols>
  <sheetData>
    <row r="1" spans="19:20" ht="12.75">
      <c r="S1" s="223" t="s">
        <v>86</v>
      </c>
      <c r="T1" s="223"/>
    </row>
    <row r="2" spans="19:20" ht="26.25" customHeight="1">
      <c r="S2" s="223"/>
      <c r="T2" s="223"/>
    </row>
    <row r="3" spans="1:20" ht="21.75" customHeight="1">
      <c r="A3" s="224" t="s">
        <v>118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5">
      <c r="B4" s="139"/>
      <c r="C4" s="139"/>
      <c r="D4" s="139"/>
      <c r="E4" s="139"/>
      <c r="F4" s="139"/>
      <c r="G4" s="139"/>
      <c r="H4" s="139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4:20" ht="11.25" customHeight="1">
      <c r="D5" s="136"/>
      <c r="E5" s="136"/>
      <c r="F5" s="136"/>
      <c r="G5" s="14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141" t="s">
        <v>2</v>
      </c>
    </row>
    <row r="6" spans="7:8" ht="3" customHeight="1">
      <c r="G6" s="142"/>
      <c r="H6" s="142"/>
    </row>
    <row r="7" spans="7:16" ht="7.5" customHeight="1">
      <c r="G7" s="225"/>
      <c r="H7" s="225"/>
      <c r="I7" s="225"/>
      <c r="J7" s="225"/>
      <c r="K7" s="225"/>
      <c r="L7" s="225"/>
      <c r="M7" s="225"/>
      <c r="N7" s="225"/>
      <c r="O7" s="143"/>
      <c r="P7" s="143"/>
    </row>
    <row r="8" ht="5.25" customHeight="1"/>
    <row r="9" ht="15" customHeight="1"/>
    <row r="10" spans="1:20" ht="52.5" customHeight="1">
      <c r="A10" s="226" t="s">
        <v>0</v>
      </c>
      <c r="B10" s="212" t="s">
        <v>13</v>
      </c>
      <c r="C10" s="212" t="s">
        <v>3</v>
      </c>
      <c r="D10" s="212" t="s">
        <v>9</v>
      </c>
      <c r="E10" s="212" t="s">
        <v>14</v>
      </c>
      <c r="F10" s="212" t="s">
        <v>11</v>
      </c>
      <c r="G10" s="212" t="s">
        <v>10</v>
      </c>
      <c r="H10" s="212" t="s">
        <v>6</v>
      </c>
      <c r="I10" s="212" t="s">
        <v>12</v>
      </c>
      <c r="J10" s="212" t="s">
        <v>85</v>
      </c>
      <c r="K10" s="212" t="s">
        <v>23</v>
      </c>
      <c r="L10" s="212" t="s">
        <v>24</v>
      </c>
      <c r="M10" s="212" t="s">
        <v>25</v>
      </c>
      <c r="N10" s="212" t="s">
        <v>26</v>
      </c>
      <c r="O10" s="228" t="s">
        <v>112</v>
      </c>
      <c r="P10" s="229"/>
      <c r="Q10" s="212" t="s">
        <v>15</v>
      </c>
      <c r="R10" s="212" t="s">
        <v>16</v>
      </c>
      <c r="S10" s="212" t="s">
        <v>8</v>
      </c>
      <c r="T10" s="212" t="s">
        <v>113</v>
      </c>
    </row>
    <row r="11" spans="1:20" s="145" customFormat="1" ht="94.5" customHeight="1">
      <c r="A11" s="226"/>
      <c r="B11" s="213"/>
      <c r="C11" s="213"/>
      <c r="D11" s="213"/>
      <c r="E11" s="227"/>
      <c r="F11" s="227"/>
      <c r="G11" s="213"/>
      <c r="H11" s="213"/>
      <c r="I11" s="213"/>
      <c r="J11" s="213"/>
      <c r="K11" s="213"/>
      <c r="L11" s="213"/>
      <c r="M11" s="213"/>
      <c r="N11" s="213"/>
      <c r="O11" s="135" t="s">
        <v>4</v>
      </c>
      <c r="P11" s="135" t="s">
        <v>5</v>
      </c>
      <c r="Q11" s="213"/>
      <c r="R11" s="213"/>
      <c r="S11" s="213"/>
      <c r="T11" s="213"/>
    </row>
    <row r="12" spans="1:20" s="147" customFormat="1" ht="10.5" customHeight="1">
      <c r="A12" s="146">
        <v>1</v>
      </c>
      <c r="B12" s="144">
        <v>2</v>
      </c>
      <c r="C12" s="79">
        <v>3</v>
      </c>
      <c r="D12" s="144">
        <v>4</v>
      </c>
      <c r="E12" s="79">
        <v>5</v>
      </c>
      <c r="F12" s="79">
        <v>6</v>
      </c>
      <c r="G12" s="79">
        <v>7</v>
      </c>
      <c r="H12" s="144">
        <v>8</v>
      </c>
      <c r="I12" s="79">
        <v>9</v>
      </c>
      <c r="J12" s="79">
        <v>10</v>
      </c>
      <c r="K12" s="79">
        <v>11</v>
      </c>
      <c r="L12" s="144">
        <v>12</v>
      </c>
      <c r="M12" s="79">
        <v>13</v>
      </c>
      <c r="N12" s="79">
        <v>14</v>
      </c>
      <c r="O12" s="79">
        <v>15</v>
      </c>
      <c r="P12" s="144">
        <v>16</v>
      </c>
      <c r="Q12" s="79">
        <v>17</v>
      </c>
      <c r="R12" s="79">
        <v>18</v>
      </c>
      <c r="S12" s="79">
        <v>19</v>
      </c>
      <c r="T12" s="144">
        <v>20</v>
      </c>
    </row>
    <row r="13" spans="1:20" s="77" customFormat="1" ht="25.5" customHeight="1">
      <c r="A13" s="232" t="s">
        <v>17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4"/>
    </row>
    <row r="14" spans="1:20" s="77" customFormat="1" ht="18.75" customHeight="1">
      <c r="A14" s="148"/>
      <c r="B14" s="149"/>
      <c r="C14" s="150"/>
      <c r="D14" s="151"/>
      <c r="E14" s="152"/>
      <c r="F14" s="152"/>
      <c r="G14" s="153"/>
      <c r="H14" s="154"/>
      <c r="I14" s="86"/>
      <c r="J14" s="155"/>
      <c r="K14" s="86"/>
      <c r="L14" s="86"/>
      <c r="M14" s="86"/>
      <c r="N14" s="80"/>
      <c r="O14" s="86"/>
      <c r="P14" s="86"/>
      <c r="Q14" s="86"/>
      <c r="R14" s="86"/>
      <c r="S14" s="86"/>
      <c r="T14" s="156"/>
    </row>
    <row r="15" spans="1:20" s="77" customFormat="1" ht="18.75" customHeight="1">
      <c r="A15" s="157" t="s">
        <v>1</v>
      </c>
      <c r="B15" s="149"/>
      <c r="C15" s="151" t="s">
        <v>7</v>
      </c>
      <c r="D15" s="151" t="s">
        <v>7</v>
      </c>
      <c r="E15" s="151" t="s">
        <v>7</v>
      </c>
      <c r="F15" s="151"/>
      <c r="G15" s="151" t="s">
        <v>7</v>
      </c>
      <c r="H15" s="151" t="s">
        <v>7</v>
      </c>
      <c r="I15" s="151" t="s">
        <v>7</v>
      </c>
      <c r="J15" s="155"/>
      <c r="K15" s="151" t="s">
        <v>7</v>
      </c>
      <c r="L15" s="86"/>
      <c r="M15" s="151" t="s">
        <v>7</v>
      </c>
      <c r="N15" s="80"/>
      <c r="O15" s="86"/>
      <c r="P15" s="86"/>
      <c r="Q15" s="86"/>
      <c r="R15" s="86"/>
      <c r="S15" s="86"/>
      <c r="T15" s="156"/>
    </row>
    <row r="16" spans="1:20" s="77" customFormat="1" ht="32.25" customHeight="1">
      <c r="A16" s="235" t="s">
        <v>18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7"/>
    </row>
    <row r="17" spans="1:20" s="77" customFormat="1" ht="131.25" customHeight="1">
      <c r="A17" s="148">
        <v>1</v>
      </c>
      <c r="B17" s="158" t="s">
        <v>35</v>
      </c>
      <c r="C17" s="159" t="s">
        <v>34</v>
      </c>
      <c r="D17" s="160">
        <v>36756000</v>
      </c>
      <c r="E17" s="161" t="s">
        <v>36</v>
      </c>
      <c r="F17" s="160">
        <f aca="true" t="shared" si="0" ref="F17:F22">O17</f>
        <v>10666000</v>
      </c>
      <c r="G17" s="61" t="s">
        <v>37</v>
      </c>
      <c r="H17" s="162" t="s">
        <v>38</v>
      </c>
      <c r="I17" s="81" t="s">
        <v>39</v>
      </c>
      <c r="J17" s="163">
        <v>19664000</v>
      </c>
      <c r="K17" s="81" t="s">
        <v>40</v>
      </c>
      <c r="L17" s="87"/>
      <c r="M17" s="61"/>
      <c r="N17" s="125">
        <f>3272000+818000+818000+818000+818000+818000+818000+818000</f>
        <v>8998000</v>
      </c>
      <c r="O17" s="125">
        <f aca="true" t="shared" si="1" ref="O17:O22">J17+L17-N17</f>
        <v>10666000</v>
      </c>
      <c r="P17" s="87"/>
      <c r="Q17" s="87"/>
      <c r="R17" s="106">
        <f>8933.46+6497.5</f>
        <v>15430.96</v>
      </c>
      <c r="S17" s="106">
        <f>8933.46+6497.5</f>
        <v>15430.96</v>
      </c>
      <c r="T17" s="164">
        <f aca="true" t="shared" si="2" ref="T17:T22">Q17+R17-S17</f>
        <v>0</v>
      </c>
    </row>
    <row r="18" spans="1:20" s="77" customFormat="1" ht="131.25" customHeight="1">
      <c r="A18" s="244">
        <v>2</v>
      </c>
      <c r="B18" s="166" t="s">
        <v>41</v>
      </c>
      <c r="C18" s="167" t="s">
        <v>34</v>
      </c>
      <c r="D18" s="168">
        <v>20000000</v>
      </c>
      <c r="E18" s="169" t="s">
        <v>36</v>
      </c>
      <c r="F18" s="168">
        <f t="shared" si="0"/>
        <v>0</v>
      </c>
      <c r="G18" s="116" t="s">
        <v>45</v>
      </c>
      <c r="H18" s="170" t="s">
        <v>42</v>
      </c>
      <c r="I18" s="125" t="s">
        <v>43</v>
      </c>
      <c r="J18" s="168">
        <v>3578000</v>
      </c>
      <c r="K18" s="116" t="s">
        <v>44</v>
      </c>
      <c r="L18" s="118"/>
      <c r="M18" s="116" t="s">
        <v>79</v>
      </c>
      <c r="N18" s="125">
        <v>3578000</v>
      </c>
      <c r="O18" s="125">
        <f t="shared" si="1"/>
        <v>0</v>
      </c>
      <c r="P18" s="118"/>
      <c r="Q18" s="118"/>
      <c r="R18" s="118">
        <v>15635.57</v>
      </c>
      <c r="S18" s="118">
        <v>15635.57</v>
      </c>
      <c r="T18" s="171">
        <f t="shared" si="2"/>
        <v>0</v>
      </c>
    </row>
    <row r="19" spans="1:20" s="77" customFormat="1" ht="131.25" customHeight="1">
      <c r="A19" s="244">
        <v>3</v>
      </c>
      <c r="B19" s="166" t="s">
        <v>46</v>
      </c>
      <c r="C19" s="167" t="s">
        <v>34</v>
      </c>
      <c r="D19" s="168">
        <v>1400000</v>
      </c>
      <c r="E19" s="169" t="s">
        <v>36</v>
      </c>
      <c r="F19" s="168">
        <f t="shared" si="0"/>
        <v>0</v>
      </c>
      <c r="G19" s="116" t="s">
        <v>47</v>
      </c>
      <c r="H19" s="170" t="s">
        <v>42</v>
      </c>
      <c r="I19" s="125" t="s">
        <v>43</v>
      </c>
      <c r="J19" s="168">
        <v>342000</v>
      </c>
      <c r="K19" s="116" t="s">
        <v>48</v>
      </c>
      <c r="L19" s="118"/>
      <c r="M19" s="116" t="s">
        <v>103</v>
      </c>
      <c r="N19" s="125">
        <f>230000+46000+66000</f>
        <v>342000</v>
      </c>
      <c r="O19" s="125">
        <f t="shared" si="1"/>
        <v>0</v>
      </c>
      <c r="P19" s="118"/>
      <c r="Q19" s="118"/>
      <c r="R19" s="118">
        <f>36.8+2021.78+43.28</f>
        <v>2101.86</v>
      </c>
      <c r="S19" s="118">
        <f>36.8+2021.78+43.28</f>
        <v>2101.86</v>
      </c>
      <c r="T19" s="171">
        <f t="shared" si="2"/>
        <v>0</v>
      </c>
    </row>
    <row r="20" spans="1:20" s="77" customFormat="1" ht="131.25" customHeight="1">
      <c r="A20" s="244">
        <v>4</v>
      </c>
      <c r="B20" s="166" t="s">
        <v>49</v>
      </c>
      <c r="C20" s="167" t="s">
        <v>34</v>
      </c>
      <c r="D20" s="168">
        <v>10000000</v>
      </c>
      <c r="E20" s="169" t="s">
        <v>36</v>
      </c>
      <c r="F20" s="168">
        <f t="shared" si="0"/>
        <v>0</v>
      </c>
      <c r="G20" s="116" t="s">
        <v>50</v>
      </c>
      <c r="H20" s="170" t="s">
        <v>38</v>
      </c>
      <c r="I20" s="125" t="s">
        <v>43</v>
      </c>
      <c r="J20" s="168">
        <v>3560000</v>
      </c>
      <c r="K20" s="116" t="s">
        <v>51</v>
      </c>
      <c r="L20" s="118"/>
      <c r="M20" s="116" t="s">
        <v>114</v>
      </c>
      <c r="N20" s="125">
        <f>1480000+296000+296000+296000+296000+296000+296000+304000</f>
        <v>3560000</v>
      </c>
      <c r="O20" s="125">
        <f t="shared" si="1"/>
        <v>0</v>
      </c>
      <c r="P20" s="118"/>
      <c r="Q20" s="118"/>
      <c r="R20" s="118">
        <f>236.8+26137.39+5968.12</f>
        <v>32342.309999999998</v>
      </c>
      <c r="S20" s="118">
        <f>236.8+26137.39+5968.12</f>
        <v>32342.309999999998</v>
      </c>
      <c r="T20" s="171">
        <f t="shared" si="2"/>
        <v>0</v>
      </c>
    </row>
    <row r="21" spans="1:20" s="77" customFormat="1" ht="131.25" customHeight="1">
      <c r="A21" s="244">
        <v>5</v>
      </c>
      <c r="B21" s="166" t="s">
        <v>52</v>
      </c>
      <c r="C21" s="167" t="s">
        <v>34</v>
      </c>
      <c r="D21" s="168">
        <v>2500000</v>
      </c>
      <c r="E21" s="169" t="s">
        <v>36</v>
      </c>
      <c r="F21" s="168">
        <f t="shared" si="0"/>
        <v>2500000</v>
      </c>
      <c r="G21" s="116" t="s">
        <v>53</v>
      </c>
      <c r="H21" s="170" t="s">
        <v>54</v>
      </c>
      <c r="I21" s="125" t="s">
        <v>43</v>
      </c>
      <c r="J21" s="168">
        <v>2500000</v>
      </c>
      <c r="K21" s="116" t="s">
        <v>55</v>
      </c>
      <c r="L21" s="118"/>
      <c r="M21" s="116"/>
      <c r="N21" s="125"/>
      <c r="O21" s="125">
        <f t="shared" si="1"/>
        <v>2500000</v>
      </c>
      <c r="P21" s="118"/>
      <c r="Q21" s="118"/>
      <c r="R21" s="118">
        <f>24143.99+17956.69</f>
        <v>42100.68</v>
      </c>
      <c r="S21" s="118">
        <f>24143.99+17956.69</f>
        <v>42100.68</v>
      </c>
      <c r="T21" s="171">
        <f t="shared" si="2"/>
        <v>0</v>
      </c>
    </row>
    <row r="22" spans="1:20" s="77" customFormat="1" ht="131.25" customHeight="1">
      <c r="A22" s="244">
        <v>6</v>
      </c>
      <c r="B22" s="166" t="s">
        <v>56</v>
      </c>
      <c r="C22" s="167" t="s">
        <v>34</v>
      </c>
      <c r="D22" s="168">
        <v>12340000</v>
      </c>
      <c r="E22" s="169" t="s">
        <v>36</v>
      </c>
      <c r="F22" s="168">
        <f t="shared" si="0"/>
        <v>2000000</v>
      </c>
      <c r="G22" s="116" t="s">
        <v>37</v>
      </c>
      <c r="H22" s="170" t="s">
        <v>54</v>
      </c>
      <c r="I22" s="125" t="s">
        <v>39</v>
      </c>
      <c r="J22" s="168">
        <v>12340000</v>
      </c>
      <c r="K22" s="116" t="s">
        <v>57</v>
      </c>
      <c r="L22" s="118"/>
      <c r="M22" s="116"/>
      <c r="N22" s="125">
        <f>784000+1300000+1300000+1364000+1864000+1475000+1475000+778000</f>
        <v>10340000</v>
      </c>
      <c r="O22" s="125">
        <f t="shared" si="1"/>
        <v>2000000</v>
      </c>
      <c r="P22" s="118"/>
      <c r="Q22" s="118"/>
      <c r="R22" s="118">
        <f>5891.63+2810.2</f>
        <v>8701.83</v>
      </c>
      <c r="S22" s="118">
        <f>5891.63+2810.2</f>
        <v>8701.83</v>
      </c>
      <c r="T22" s="171">
        <f t="shared" si="2"/>
        <v>0</v>
      </c>
    </row>
    <row r="23" spans="1:20" s="77" customFormat="1" ht="18.75" customHeight="1">
      <c r="A23" s="172" t="s">
        <v>1</v>
      </c>
      <c r="B23" s="173"/>
      <c r="C23" s="123" t="s">
        <v>7</v>
      </c>
      <c r="D23" s="123" t="s">
        <v>7</v>
      </c>
      <c r="E23" s="123" t="s">
        <v>7</v>
      </c>
      <c r="F23" s="123">
        <f>SUM(F17:F22)</f>
        <v>15166000</v>
      </c>
      <c r="G23" s="123" t="s">
        <v>7</v>
      </c>
      <c r="H23" s="123" t="s">
        <v>7</v>
      </c>
      <c r="I23" s="123" t="s">
        <v>7</v>
      </c>
      <c r="J23" s="123">
        <f>J17+J18+J19+J20+J21+J22</f>
        <v>41984000</v>
      </c>
      <c r="K23" s="123" t="s">
        <v>7</v>
      </c>
      <c r="L23" s="123">
        <f>L17+L18+L19+L20+L21+L22</f>
        <v>0</v>
      </c>
      <c r="M23" s="123" t="s">
        <v>7</v>
      </c>
      <c r="N23" s="123">
        <f aca="true" t="shared" si="3" ref="N23:T23">N17+N18+N19+N20+N21+N22</f>
        <v>26818000</v>
      </c>
      <c r="O23" s="123">
        <f t="shared" si="3"/>
        <v>15166000</v>
      </c>
      <c r="P23" s="123">
        <f t="shared" si="3"/>
        <v>0</v>
      </c>
      <c r="Q23" s="123">
        <f t="shared" si="3"/>
        <v>0</v>
      </c>
      <c r="R23" s="123">
        <f t="shared" si="3"/>
        <v>116313.21</v>
      </c>
      <c r="S23" s="123">
        <f t="shared" si="3"/>
        <v>116313.21</v>
      </c>
      <c r="T23" s="123">
        <f t="shared" si="3"/>
        <v>0</v>
      </c>
    </row>
    <row r="24" spans="1:20" s="77" customFormat="1" ht="31.5" customHeight="1">
      <c r="A24" s="238" t="s">
        <v>19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40"/>
    </row>
    <row r="25" spans="1:20" s="77" customFormat="1" ht="131.25" customHeight="1">
      <c r="A25" s="244">
        <v>1</v>
      </c>
      <c r="B25" s="166" t="s">
        <v>61</v>
      </c>
      <c r="C25" s="167" t="s">
        <v>58</v>
      </c>
      <c r="D25" s="168">
        <v>10000000</v>
      </c>
      <c r="E25" s="169" t="s">
        <v>36</v>
      </c>
      <c r="F25" s="168">
        <f aca="true" t="shared" si="4" ref="F25:F30">O25</f>
        <v>0</v>
      </c>
      <c r="G25" s="116" t="s">
        <v>59</v>
      </c>
      <c r="H25" s="170" t="s">
        <v>54</v>
      </c>
      <c r="I25" s="125">
        <v>9.43</v>
      </c>
      <c r="J25" s="168">
        <v>8700000</v>
      </c>
      <c r="K25" s="116" t="s">
        <v>57</v>
      </c>
      <c r="L25" s="118"/>
      <c r="M25" s="116" t="s">
        <v>80</v>
      </c>
      <c r="N25" s="168">
        <v>8700000</v>
      </c>
      <c r="O25" s="125">
        <f aca="true" t="shared" si="5" ref="O25:O32">J25+L25-N25</f>
        <v>0</v>
      </c>
      <c r="P25" s="125"/>
      <c r="Q25" s="125"/>
      <c r="R25" s="125">
        <v>73828.86</v>
      </c>
      <c r="S25" s="125">
        <v>73828.86</v>
      </c>
      <c r="T25" s="174">
        <f aca="true" t="shared" si="6" ref="T25:T31">Q25+R25-S25</f>
        <v>0</v>
      </c>
    </row>
    <row r="26" spans="1:20" s="77" customFormat="1" ht="131.25" customHeight="1">
      <c r="A26" s="244">
        <v>2</v>
      </c>
      <c r="B26" s="166" t="s">
        <v>63</v>
      </c>
      <c r="C26" s="167" t="s">
        <v>64</v>
      </c>
      <c r="D26" s="168">
        <v>16000000</v>
      </c>
      <c r="E26" s="169" t="s">
        <v>36</v>
      </c>
      <c r="F26" s="168">
        <f t="shared" si="4"/>
        <v>0</v>
      </c>
      <c r="G26" s="116" t="s">
        <v>65</v>
      </c>
      <c r="H26" s="170" t="s">
        <v>54</v>
      </c>
      <c r="I26" s="125">
        <v>9.73</v>
      </c>
      <c r="J26" s="168">
        <v>16000000</v>
      </c>
      <c r="K26" s="116" t="s">
        <v>66</v>
      </c>
      <c r="L26" s="118"/>
      <c r="M26" s="116" t="s">
        <v>95</v>
      </c>
      <c r="N26" s="168">
        <v>16000000</v>
      </c>
      <c r="O26" s="125">
        <f t="shared" si="5"/>
        <v>0</v>
      </c>
      <c r="P26" s="125"/>
      <c r="Q26" s="125"/>
      <c r="R26" s="125">
        <f>634555.89+76599.34</f>
        <v>711155.23</v>
      </c>
      <c r="S26" s="125">
        <f>634555.89+76599.34</f>
        <v>711155.23</v>
      </c>
      <c r="T26" s="174">
        <f t="shared" si="6"/>
        <v>0</v>
      </c>
    </row>
    <row r="27" spans="1:20" s="77" customFormat="1" ht="131.25" customHeight="1">
      <c r="A27" s="244">
        <v>3</v>
      </c>
      <c r="B27" s="166" t="s">
        <v>67</v>
      </c>
      <c r="C27" s="167" t="s">
        <v>68</v>
      </c>
      <c r="D27" s="168">
        <v>15000000</v>
      </c>
      <c r="E27" s="169" t="s">
        <v>36</v>
      </c>
      <c r="F27" s="168">
        <f t="shared" si="4"/>
        <v>5000000</v>
      </c>
      <c r="G27" s="116" t="s">
        <v>69</v>
      </c>
      <c r="H27" s="170" t="s">
        <v>54</v>
      </c>
      <c r="I27" s="125">
        <v>9.35</v>
      </c>
      <c r="J27" s="168">
        <v>15000000</v>
      </c>
      <c r="K27" s="116" t="s">
        <v>76</v>
      </c>
      <c r="L27" s="118"/>
      <c r="M27" s="116"/>
      <c r="N27" s="168">
        <f>2200000+7800000</f>
        <v>10000000</v>
      </c>
      <c r="O27" s="125">
        <f t="shared" si="5"/>
        <v>5000000</v>
      </c>
      <c r="P27" s="125"/>
      <c r="Q27" s="125"/>
      <c r="R27" s="125">
        <f>594742.01+114959.02+118790.98+118790.98+114959.02+118790.98+114959.02+118790.98</f>
        <v>1414782.99</v>
      </c>
      <c r="S27" s="125">
        <f>594742.01+114959.02+118790.98+118790.98+114959.02+118790.98+114959.02+118790.98</f>
        <v>1414782.99</v>
      </c>
      <c r="T27" s="174">
        <f t="shared" si="6"/>
        <v>0</v>
      </c>
    </row>
    <row r="28" spans="1:20" s="77" customFormat="1" ht="131.25" customHeight="1">
      <c r="A28" s="244">
        <v>4</v>
      </c>
      <c r="B28" s="166" t="s">
        <v>74</v>
      </c>
      <c r="C28" s="167" t="s">
        <v>58</v>
      </c>
      <c r="D28" s="168">
        <v>5600000</v>
      </c>
      <c r="E28" s="169" t="s">
        <v>36</v>
      </c>
      <c r="F28" s="168">
        <f t="shared" si="4"/>
        <v>5600000</v>
      </c>
      <c r="G28" s="116" t="s">
        <v>62</v>
      </c>
      <c r="H28" s="170" t="s">
        <v>54</v>
      </c>
      <c r="I28" s="125">
        <v>9.4</v>
      </c>
      <c r="J28" s="168">
        <v>5600000</v>
      </c>
      <c r="K28" s="116" t="s">
        <v>75</v>
      </c>
      <c r="L28" s="118"/>
      <c r="M28" s="116"/>
      <c r="N28" s="168"/>
      <c r="O28" s="125">
        <f t="shared" si="5"/>
        <v>5600000</v>
      </c>
      <c r="P28" s="125"/>
      <c r="Q28" s="125"/>
      <c r="R28" s="125">
        <f>174028.42+44585.79+43147.54+44585.79+44585.79+43147.54+44585.8+43147.54+44585.79</f>
        <v>526400</v>
      </c>
      <c r="S28" s="125">
        <f>174028.42+44585.79+43147.54+44585.79+44585.79+43147.54+44585.8+43147.54+44585.79</f>
        <v>526400</v>
      </c>
      <c r="T28" s="174">
        <f t="shared" si="6"/>
        <v>0</v>
      </c>
    </row>
    <row r="29" spans="1:20" s="77" customFormat="1" ht="131.25" customHeight="1">
      <c r="A29" s="244">
        <v>5</v>
      </c>
      <c r="B29" s="166" t="s">
        <v>77</v>
      </c>
      <c r="C29" s="167" t="s">
        <v>68</v>
      </c>
      <c r="D29" s="168">
        <v>10000000</v>
      </c>
      <c r="E29" s="169" t="s">
        <v>36</v>
      </c>
      <c r="F29" s="168">
        <f t="shared" si="4"/>
        <v>10000000</v>
      </c>
      <c r="G29" s="116" t="s">
        <v>78</v>
      </c>
      <c r="H29" s="170" t="s">
        <v>54</v>
      </c>
      <c r="I29" s="125">
        <v>6.97</v>
      </c>
      <c r="J29" s="168"/>
      <c r="K29" s="175">
        <v>43886</v>
      </c>
      <c r="L29" s="118">
        <v>10000000</v>
      </c>
      <c r="M29" s="116"/>
      <c r="N29" s="168"/>
      <c r="O29" s="125">
        <f t="shared" si="5"/>
        <v>10000000</v>
      </c>
      <c r="P29" s="125"/>
      <c r="Q29" s="125"/>
      <c r="R29" s="125">
        <f>171291.76+57097.25+59000.5+59000.5+57097.25+59000.5+57097.25+59000.5</f>
        <v>578585.51</v>
      </c>
      <c r="S29" s="125">
        <f>171291.76+57097.25+59000.5+59000.5+57097.25+59000.5+57097.25+59000.5</f>
        <v>578585.51</v>
      </c>
      <c r="T29" s="174">
        <f t="shared" si="6"/>
        <v>0</v>
      </c>
    </row>
    <row r="30" spans="1:20" s="77" customFormat="1" ht="131.25" customHeight="1">
      <c r="A30" s="244">
        <v>6</v>
      </c>
      <c r="B30" s="166" t="s">
        <v>81</v>
      </c>
      <c r="C30" s="167" t="s">
        <v>58</v>
      </c>
      <c r="D30" s="168">
        <v>10000000</v>
      </c>
      <c r="E30" s="169" t="s">
        <v>36</v>
      </c>
      <c r="F30" s="168">
        <f t="shared" si="4"/>
        <v>10000000</v>
      </c>
      <c r="G30" s="175">
        <v>44660</v>
      </c>
      <c r="H30" s="170" t="s">
        <v>54</v>
      </c>
      <c r="I30" s="125">
        <v>7.2</v>
      </c>
      <c r="J30" s="168"/>
      <c r="K30" s="175">
        <v>43930</v>
      </c>
      <c r="L30" s="118">
        <v>10000000</v>
      </c>
      <c r="M30" s="116"/>
      <c r="N30" s="168"/>
      <c r="O30" s="125">
        <f t="shared" si="5"/>
        <v>10000000</v>
      </c>
      <c r="P30" s="125"/>
      <c r="Q30" s="125"/>
      <c r="R30" s="125">
        <f>33442.62+60983.61+59016.39+60983.61+60983.61+59016.39+60983.61+59016.39+60983.61</f>
        <v>515409.83999999997</v>
      </c>
      <c r="S30" s="125">
        <f>33442.62+60983.61+59016.39+60983.61+60983.61+59016.39+60983.61+59016.39+60983.61</f>
        <v>515409.83999999997</v>
      </c>
      <c r="T30" s="174">
        <f t="shared" si="6"/>
        <v>0</v>
      </c>
    </row>
    <row r="31" spans="1:20" s="77" customFormat="1" ht="131.25" customHeight="1">
      <c r="A31" s="245">
        <v>7</v>
      </c>
      <c r="B31" s="166" t="s">
        <v>91</v>
      </c>
      <c r="C31" s="167" t="s">
        <v>92</v>
      </c>
      <c r="D31" s="168">
        <v>26000000</v>
      </c>
      <c r="E31" s="169" t="s">
        <v>36</v>
      </c>
      <c r="F31" s="168">
        <v>26000000</v>
      </c>
      <c r="G31" s="116" t="s">
        <v>93</v>
      </c>
      <c r="H31" s="170" t="s">
        <v>54</v>
      </c>
      <c r="I31" s="125">
        <v>7.24</v>
      </c>
      <c r="J31" s="168"/>
      <c r="K31" s="175" t="s">
        <v>94</v>
      </c>
      <c r="L31" s="118">
        <v>26000000</v>
      </c>
      <c r="M31" s="116"/>
      <c r="N31" s="168"/>
      <c r="O31" s="125">
        <f t="shared" si="5"/>
        <v>26000000</v>
      </c>
      <c r="P31" s="125"/>
      <c r="Q31" s="125"/>
      <c r="R31" s="125">
        <f>66888.91+159504.31+159504.32+154359.02+159504.31+154359.02+159504.32</f>
        <v>1013624.2100000002</v>
      </c>
      <c r="S31" s="125">
        <f>66888.91+159504.31+159504.32+154359.02+159504.31+154359.02+159504.32</f>
        <v>1013624.2100000002</v>
      </c>
      <c r="T31" s="125">
        <f t="shared" si="6"/>
        <v>0</v>
      </c>
    </row>
    <row r="32" spans="1:20" s="77" customFormat="1" ht="131.25" customHeight="1">
      <c r="A32" s="245">
        <v>8</v>
      </c>
      <c r="B32" s="166" t="s">
        <v>115</v>
      </c>
      <c r="C32" s="167" t="s">
        <v>58</v>
      </c>
      <c r="D32" s="168">
        <v>17900000</v>
      </c>
      <c r="E32" s="169" t="s">
        <v>36</v>
      </c>
      <c r="F32" s="168">
        <v>17900000</v>
      </c>
      <c r="G32" s="116" t="s">
        <v>116</v>
      </c>
      <c r="H32" s="170" t="s">
        <v>54</v>
      </c>
      <c r="I32" s="125">
        <v>6.42</v>
      </c>
      <c r="J32" s="168"/>
      <c r="K32" s="175" t="s">
        <v>117</v>
      </c>
      <c r="L32" s="118">
        <v>17900000</v>
      </c>
      <c r="M32" s="116"/>
      <c r="N32" s="168"/>
      <c r="O32" s="125">
        <f t="shared" si="5"/>
        <v>17900000</v>
      </c>
      <c r="P32" s="125"/>
      <c r="Q32" s="125"/>
      <c r="R32" s="125">
        <v>9421.29</v>
      </c>
      <c r="S32" s="125">
        <v>9421.29</v>
      </c>
      <c r="T32" s="125"/>
    </row>
    <row r="33" spans="1:20" s="77" customFormat="1" ht="18.75" customHeight="1">
      <c r="A33" s="172" t="s">
        <v>1</v>
      </c>
      <c r="B33" s="173"/>
      <c r="C33" s="123" t="s">
        <v>7</v>
      </c>
      <c r="D33" s="123" t="s">
        <v>7</v>
      </c>
      <c r="E33" s="123" t="s">
        <v>7</v>
      </c>
      <c r="F33" s="123">
        <f>F25+F26+F27+F28+F29+F30+F31+F32</f>
        <v>74500000</v>
      </c>
      <c r="G33" s="123" t="s">
        <v>7</v>
      </c>
      <c r="H33" s="123" t="s">
        <v>7</v>
      </c>
      <c r="I33" s="123" t="s">
        <v>7</v>
      </c>
      <c r="J33" s="123">
        <f>J25+J26+J27+J28+J29+J30+J31+J32</f>
        <v>45300000</v>
      </c>
      <c r="K33" s="123" t="s">
        <v>7</v>
      </c>
      <c r="L33" s="123">
        <f>L25+L26+L27+L28+L29+L30+L31+L32</f>
        <v>63900000</v>
      </c>
      <c r="M33" s="123" t="s">
        <v>7</v>
      </c>
      <c r="N33" s="123">
        <f aca="true" t="shared" si="7" ref="N33:T33">N25+N26+N27+N28+N29+N30+N31+N32</f>
        <v>34700000</v>
      </c>
      <c r="O33" s="123">
        <f t="shared" si="7"/>
        <v>74500000</v>
      </c>
      <c r="P33" s="123">
        <f t="shared" si="7"/>
        <v>0</v>
      </c>
      <c r="Q33" s="123">
        <f t="shared" si="7"/>
        <v>0</v>
      </c>
      <c r="R33" s="123">
        <f t="shared" si="7"/>
        <v>4843207.93</v>
      </c>
      <c r="S33" s="123">
        <f t="shared" si="7"/>
        <v>4843207.93</v>
      </c>
      <c r="T33" s="123">
        <f t="shared" si="7"/>
        <v>0</v>
      </c>
    </row>
    <row r="34" spans="1:20" s="77" customFormat="1" ht="18.75" customHeight="1">
      <c r="A34" s="238" t="s">
        <v>20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40"/>
    </row>
    <row r="35" spans="1:20" s="77" customFormat="1" ht="18.75" customHeight="1">
      <c r="A35" s="165"/>
      <c r="B35" s="173"/>
      <c r="C35" s="176"/>
      <c r="D35" s="123"/>
      <c r="E35" s="177"/>
      <c r="F35" s="177"/>
      <c r="G35" s="178"/>
      <c r="H35" s="179"/>
      <c r="I35" s="118"/>
      <c r="J35" s="180"/>
      <c r="K35" s="118"/>
      <c r="L35" s="118"/>
      <c r="M35" s="118"/>
      <c r="N35" s="181"/>
      <c r="O35" s="118"/>
      <c r="P35" s="118"/>
      <c r="Q35" s="118"/>
      <c r="R35" s="118"/>
      <c r="S35" s="118"/>
      <c r="T35" s="171"/>
    </row>
    <row r="36" spans="1:20" s="77" customFormat="1" ht="18.75" customHeight="1">
      <c r="A36" s="172" t="s">
        <v>1</v>
      </c>
      <c r="B36" s="173"/>
      <c r="C36" s="123" t="s">
        <v>7</v>
      </c>
      <c r="D36" s="123" t="s">
        <v>7</v>
      </c>
      <c r="E36" s="123" t="s">
        <v>7</v>
      </c>
      <c r="F36" s="123"/>
      <c r="G36" s="123" t="s">
        <v>7</v>
      </c>
      <c r="H36" s="123" t="s">
        <v>7</v>
      </c>
      <c r="I36" s="123" t="s">
        <v>7</v>
      </c>
      <c r="J36" s="180"/>
      <c r="K36" s="123" t="s">
        <v>7</v>
      </c>
      <c r="L36" s="118"/>
      <c r="M36" s="123" t="s">
        <v>7</v>
      </c>
      <c r="N36" s="181"/>
      <c r="O36" s="118"/>
      <c r="P36" s="118"/>
      <c r="Q36" s="118"/>
      <c r="R36" s="118"/>
      <c r="S36" s="118"/>
      <c r="T36" s="171"/>
    </row>
    <row r="37" spans="1:20" s="77" customFormat="1" ht="31.5" customHeight="1">
      <c r="A37" s="238" t="s">
        <v>27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40"/>
    </row>
    <row r="38" spans="1:20" s="77" customFormat="1" ht="18.75" customHeight="1">
      <c r="A38" s="165"/>
      <c r="B38" s="173"/>
      <c r="C38" s="176"/>
      <c r="D38" s="123"/>
      <c r="E38" s="177"/>
      <c r="F38" s="177"/>
      <c r="G38" s="178"/>
      <c r="H38" s="179"/>
      <c r="I38" s="118"/>
      <c r="J38" s="180"/>
      <c r="K38" s="118"/>
      <c r="L38" s="118"/>
      <c r="M38" s="118"/>
      <c r="N38" s="181"/>
      <c r="O38" s="118"/>
      <c r="P38" s="118"/>
      <c r="Q38" s="118"/>
      <c r="R38" s="118"/>
      <c r="S38" s="118"/>
      <c r="T38" s="171"/>
    </row>
    <row r="39" spans="1:20" s="77" customFormat="1" ht="18.75" customHeight="1">
      <c r="A39" s="172" t="s">
        <v>1</v>
      </c>
      <c r="B39" s="173"/>
      <c r="C39" s="123" t="s">
        <v>7</v>
      </c>
      <c r="D39" s="123" t="s">
        <v>7</v>
      </c>
      <c r="E39" s="123"/>
      <c r="F39" s="123"/>
      <c r="G39" s="123" t="s">
        <v>7</v>
      </c>
      <c r="H39" s="123" t="s">
        <v>7</v>
      </c>
      <c r="I39" s="123" t="s">
        <v>7</v>
      </c>
      <c r="J39" s="180"/>
      <c r="K39" s="123" t="s">
        <v>7</v>
      </c>
      <c r="L39" s="118"/>
      <c r="M39" s="123" t="s">
        <v>7</v>
      </c>
      <c r="N39" s="181"/>
      <c r="O39" s="118"/>
      <c r="P39" s="118"/>
      <c r="Q39" s="118"/>
      <c r="R39" s="118"/>
      <c r="S39" s="118"/>
      <c r="T39" s="171"/>
    </row>
    <row r="40" spans="1:20" s="77" customFormat="1" ht="18.75" customHeight="1">
      <c r="A40" s="241" t="s">
        <v>31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3"/>
    </row>
    <row r="41" spans="1:20" s="183" customFormat="1" ht="21.75" customHeight="1">
      <c r="A41" s="182"/>
      <c r="B41" s="182"/>
      <c r="C41" s="123" t="s">
        <v>7</v>
      </c>
      <c r="D41" s="123" t="s">
        <v>7</v>
      </c>
      <c r="E41" s="123" t="s">
        <v>7</v>
      </c>
      <c r="F41" s="123">
        <f>F23+F33</f>
        <v>89666000</v>
      </c>
      <c r="G41" s="123" t="s">
        <v>7</v>
      </c>
      <c r="H41" s="123" t="s">
        <v>7</v>
      </c>
      <c r="I41" s="123" t="s">
        <v>7</v>
      </c>
      <c r="J41" s="123">
        <f>J23+J33</f>
        <v>87284000</v>
      </c>
      <c r="K41" s="123" t="s">
        <v>7</v>
      </c>
      <c r="L41" s="123">
        <f>L23+L33</f>
        <v>63900000</v>
      </c>
      <c r="M41" s="123" t="s">
        <v>7</v>
      </c>
      <c r="N41" s="123">
        <f>N23+N33</f>
        <v>61518000</v>
      </c>
      <c r="O41" s="123">
        <f aca="true" t="shared" si="8" ref="O41:T41">O23+O33</f>
        <v>89666000</v>
      </c>
      <c r="P41" s="123">
        <f t="shared" si="8"/>
        <v>0</v>
      </c>
      <c r="Q41" s="123">
        <f t="shared" si="8"/>
        <v>0</v>
      </c>
      <c r="R41" s="123">
        <f t="shared" si="8"/>
        <v>4959521.14</v>
      </c>
      <c r="S41" s="123">
        <f t="shared" si="8"/>
        <v>4959521.14</v>
      </c>
      <c r="T41" s="123">
        <f t="shared" si="8"/>
        <v>0</v>
      </c>
    </row>
    <row r="42" spans="1:20" ht="10.5" customHeight="1">
      <c r="A42" s="184"/>
      <c r="B42" s="185"/>
      <c r="C42" s="185"/>
      <c r="D42" s="186"/>
      <c r="E42" s="186"/>
      <c r="F42" s="186"/>
      <c r="G42" s="187"/>
      <c r="H42" s="187"/>
      <c r="I42" s="88"/>
      <c r="J42" s="88"/>
      <c r="K42" s="85"/>
      <c r="L42" s="85"/>
      <c r="M42" s="85"/>
      <c r="N42" s="85"/>
      <c r="O42" s="88"/>
      <c r="P42" s="88"/>
      <c r="Q42" s="88"/>
      <c r="R42" s="88"/>
      <c r="S42" s="88"/>
      <c r="T42" s="88"/>
    </row>
    <row r="43" spans="1:11" ht="22.5" customHeight="1">
      <c r="A43" s="188" t="s">
        <v>87</v>
      </c>
      <c r="B43" s="189"/>
      <c r="C43" s="189"/>
      <c r="D43" s="190"/>
      <c r="E43" s="190"/>
      <c r="F43" s="190"/>
      <c r="G43" s="191"/>
      <c r="H43" s="191"/>
      <c r="J43" s="188"/>
      <c r="K43" s="188"/>
    </row>
    <row r="45" spans="1:11" ht="24.75" customHeight="1">
      <c r="A45" s="188" t="s">
        <v>70</v>
      </c>
      <c r="B45" s="189"/>
      <c r="C45" s="189"/>
      <c r="D45" s="190"/>
      <c r="E45" s="190"/>
      <c r="F45" s="190"/>
      <c r="G45" s="191"/>
      <c r="H45" s="191"/>
      <c r="J45" s="188"/>
      <c r="K45" s="188"/>
    </row>
    <row r="47" spans="1:11" ht="24" customHeight="1">
      <c r="A47" s="188" t="s">
        <v>71</v>
      </c>
      <c r="B47" s="189"/>
      <c r="C47" s="189"/>
      <c r="D47" s="190"/>
      <c r="E47" s="190"/>
      <c r="F47" s="190"/>
      <c r="G47" s="230" t="s">
        <v>73</v>
      </c>
      <c r="H47" s="231"/>
      <c r="J47" s="188"/>
      <c r="K47" s="188"/>
    </row>
    <row r="50" ht="12.75">
      <c r="A50" s="75" t="s">
        <v>21</v>
      </c>
    </row>
    <row r="51" spans="1:11" ht="12.75">
      <c r="A51" s="188"/>
      <c r="B51" s="189"/>
      <c r="C51" s="189"/>
      <c r="D51" s="190"/>
      <c r="E51" s="190"/>
      <c r="F51" s="190"/>
      <c r="G51" s="191"/>
      <c r="H51" s="191"/>
      <c r="J51" s="188"/>
      <c r="K51" s="188"/>
    </row>
    <row r="62" ht="16.5" customHeight="1"/>
    <row r="63" ht="30" customHeight="1">
      <c r="B63" s="192"/>
    </row>
  </sheetData>
  <sheetProtection/>
  <mergeCells count="29">
    <mergeCell ref="G47:H47"/>
    <mergeCell ref="A13:T13"/>
    <mergeCell ref="A16:T16"/>
    <mergeCell ref="A24:T24"/>
    <mergeCell ref="A34:T34"/>
    <mergeCell ref="A37:T37"/>
    <mergeCell ref="A40:T40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2021-01-13T07:36:26Z</cp:lastPrinted>
  <dcterms:created xsi:type="dcterms:W3CDTF">2006-06-05T06:40:26Z</dcterms:created>
  <dcterms:modified xsi:type="dcterms:W3CDTF">2021-01-13T08:15:52Z</dcterms:modified>
  <cp:category/>
  <cp:version/>
  <cp:contentType/>
  <cp:contentStatus/>
</cp:coreProperties>
</file>