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8" activeTab="9"/>
  </bookViews>
  <sheets>
    <sheet name="муниципалы на 01.02.20г." sheetId="1" state="hidden" r:id="rId1"/>
    <sheet name="муниципалы на 01.01.21г." sheetId="2" r:id="rId2"/>
    <sheet name="муниципалы на 01.02.21г." sheetId="3" r:id="rId3"/>
    <sheet name="муниципалы на 01.03.21г. " sheetId="4" r:id="rId4"/>
    <sheet name="муниципалы на 01.04.21г. " sheetId="5" r:id="rId5"/>
    <sheet name="муниципалы на 01.05.21г. " sheetId="6" r:id="rId6"/>
    <sheet name="муниципалы на 01.06.21г.  " sheetId="7" r:id="rId7"/>
    <sheet name="муниципалы на 01.07.21г.  " sheetId="8" r:id="rId8"/>
    <sheet name="муниципалы на 01.08.21г. " sheetId="9" r:id="rId9"/>
    <sheet name="муниципалы на 01.09.21г.  " sheetId="10" r:id="rId10"/>
    <sheet name="муниципалы на 01.10.21г.  " sheetId="11" state="hidden" r:id="rId11"/>
  </sheets>
  <definedNames/>
  <calcPr fullCalcOnLoad="1"/>
</workbook>
</file>

<file path=xl/sharedStrings.xml><?xml version="1.0" encoding="utf-8"?>
<sst xmlns="http://schemas.openxmlformats.org/spreadsheetml/2006/main" count="1700" uniqueCount="137">
  <si>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</si>
  <si>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</si>
  <si>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</si>
  <si>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</si>
  <si>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</si>
  <si>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</si>
  <si>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</si>
  <si>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</si>
  <si>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</si>
  <si>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</si>
  <si>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</si>
  <si>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</si>
  <si>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</si>
  <si>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</si>
  <si>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</si>
  <si>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</si>
  <si>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</si>
  <si>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</si>
  <si>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</si>
  <si>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</si>
  <si>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</si>
  <si>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</si>
  <si>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</si>
  <si>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</si>
  <si>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</si>
  <si>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</si>
  <si>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</si>
  <si>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</si>
  <si>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</si>
  <si>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</si>
  <si>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</si>
  <si>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</si>
  <si>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</si>
  <si>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</si>
  <si>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</si>
  <si>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</si>
  <si>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</si>
  <si>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</si>
  <si>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</si>
  <si>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</si>
  <si>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</si>
  <si>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</si>
  <si>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</si>
  <si>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</si>
  <si>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</si>
  <si>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</si>
  <si>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</si>
  <si>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</si>
  <si>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</si>
  <si>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</si>
  <si>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</si>
  <si>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</si>
  <si>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</si>
  <si>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</si>
  <si>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</si>
  <si>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</si>
  <si>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</si>
  <si>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</si>
  <si>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</si>
  <si>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</si>
  <si>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</si>
  <si>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</si>
  <si>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</si>
  <si>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</si>
  <si>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</si>
  <si>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</si>
  <si>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</si>
  <si>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</si>
  <si>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</si>
  <si>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</si>
  <si>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</si>
  <si>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</si>
  <si>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</si>
  <si>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</si>
  <si>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</si>
  <si>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</si>
  <si>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</si>
  <si>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</si>
  <si>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</si>
  <si>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</si>
  <si>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</si>
  <si>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</si>
  <si>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</si>
  <si>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</si>
  <si>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</si>
  <si>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</si>
  <si>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</si>
  <si>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</si>
  <si>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</si>
  <si>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</si>
  <si>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16.07.2020г.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</si>
  <si>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</si>
  <si>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</si>
  <si>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</si>
  <si>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</si>
  <si>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</si>
  <si>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</si>
  <si>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</si>
  <si>
    <t>Информация о долговых обязательствах муниципального образования Олонецкого национального муниципального района на 01.02.2021г.</t>
  </si>
  <si>
    <t>Объем муниципального долга  на 01.01.2021г.</t>
  </si>
  <si>
    <t>Объем муниципального долга  на 1.02.2021г.</t>
  </si>
  <si>
    <t>Объем задолженности по процентам на 1.02.2021г.</t>
  </si>
  <si>
    <t>Информация о долговых обязательствах муниципального образования Олонецкого национального муниципального района на 01.03.2021г.</t>
  </si>
  <si>
    <t>Объем муниципального долга  на 1.03.2021г.</t>
  </si>
  <si>
    <t>Объем задолженности по процентам на 1.03.2021г.</t>
  </si>
  <si>
    <t>восстановление переплач. суммы</t>
  </si>
  <si>
    <t>Информация о долговых обязательствах муниципального образования Олонецкого национального муниципального района на 01.04.2021г.</t>
  </si>
  <si>
    <t>Объем муниципального долга  на 1.04.2021г.</t>
  </si>
  <si>
    <t>Объем задолженности по процентам на 1.04.2021г.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</si>
  <si>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</si>
  <si>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</si>
  <si>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</si>
  <si>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</si>
  <si>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</si>
  <si>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Объем муниципального долга  на 1.05.2021г.</t>
  </si>
  <si>
    <t>Объем задолженности по процентам на 1.05.2021г.</t>
  </si>
  <si>
    <t>Информация о долговых обязательствах муниципального образования Олонецкого национального муниципального района на 01.05.2021г.</t>
  </si>
  <si>
    <t>Информация о долговых обязательствах муниципального образования Олонецкого национального муниципального района на 01.06.2021г.</t>
  </si>
  <si>
    <t>Объем муниципального долга  на 1.06.2021г.</t>
  </si>
  <si>
    <t>Объем задолженности по процентам на 1.06.2021г.</t>
  </si>
  <si>
    <t>Информация о долговых обязательствах муниципального образования Олонецкого национального муниципального района на 01.07.2021г.</t>
  </si>
  <si>
    <t>Муниципальный контракт  №01063000091210000061 от 28.06.2021г.</t>
  </si>
  <si>
    <t>28.06.2023г.</t>
  </si>
  <si>
    <t>Объем задолженности по процентам на 1.07.2021г.</t>
  </si>
  <si>
    <t>Объем муниципального долга  на 1.07.2021г.</t>
  </si>
  <si>
    <t>Объем муниципального долга  на 1.08.2021г.</t>
  </si>
  <si>
    <t>Объем задолженности по процентам на 1.08.2021г.</t>
  </si>
  <si>
    <t>Информация о долговых обязательствах муниципального образования Олонецкого национального муниципального района на 01.08.2021г.</t>
  </si>
  <si>
    <t>Информация о долговых обязательствах муниципального образования Олонецкого национального муниципального района на 01.09.2021г.</t>
  </si>
  <si>
    <t>Объем задолженности по процентам на 1.09.2021г.</t>
  </si>
  <si>
    <t>Объем муниципального долга  на 1.09.2021г.</t>
  </si>
  <si>
    <t>Объем муниципального долга  на 1.10.2021г.</t>
  </si>
  <si>
    <t>Объем задолженности по процентам на 1.10.2021г.</t>
  </si>
  <si>
    <t>Соглашение № 9-1/21 от 27.09.2021г.</t>
  </si>
  <si>
    <t>15.12.2025г.</t>
  </si>
  <si>
    <t>15.09.2021г.</t>
  </si>
  <si>
    <t>Информация о долговых обязательствах муниципального образования Олонецкого национального муниципального района на 01.10.2021г.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</si>
</sst>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51" t="s">
        <v>32</v>
      </c>
      <c r="T1" s="151"/>
    </row>
    <row r="2" spans="19:20" ht="26.25" customHeight="1">
      <c r="S2" s="151"/>
      <c r="T2" s="15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0"/>
      <c r="H7" s="150"/>
      <c r="I7" s="150"/>
      <c r="J7" s="150"/>
      <c r="K7" s="150"/>
      <c r="L7" s="150"/>
      <c r="M7" s="150"/>
      <c r="N7" s="150"/>
      <c r="O7" s="9"/>
      <c r="P7" s="9"/>
    </row>
    <row r="8" ht="5.25" customHeight="1"/>
    <row r="9" ht="15" customHeight="1"/>
    <row r="10" spans="1:20" ht="52.5" customHeight="1">
      <c r="A10" s="158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29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2" t="s">
        <v>22</v>
      </c>
      <c r="P10" s="143"/>
      <c r="Q10" s="144" t="s">
        <v>15</v>
      </c>
      <c r="R10" s="144" t="s">
        <v>16</v>
      </c>
      <c r="S10" s="144" t="s">
        <v>8</v>
      </c>
      <c r="T10" s="144" t="s">
        <v>30</v>
      </c>
    </row>
    <row r="11" spans="1:20" s="13" customFormat="1" ht="94.5" customHeight="1">
      <c r="A11" s="158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40" t="s">
        <v>4</v>
      </c>
      <c r="P11" s="40" t="s">
        <v>5</v>
      </c>
      <c r="Q11" s="145"/>
      <c r="R11" s="145"/>
      <c r="S11" s="145"/>
      <c r="T11" s="14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2" t="s">
        <v>18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52" t="s">
        <v>19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52" t="s">
        <v>20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52" t="s">
        <v>27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7" t="s">
        <v>31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40" t="s">
        <v>73</v>
      </c>
      <c r="H45" s="141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M7">
      <pane ySplit="3270" topLeftCell="A1" activePane="bottomLeft" state="split"/>
      <selection pane="topLeft" activeCell="K9" sqref="K9"/>
      <selection pane="bottomLeft" activeCell="I19" sqref="I1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130</v>
      </c>
      <c r="P10" s="167"/>
      <c r="Q10" s="163" t="s">
        <v>15</v>
      </c>
      <c r="R10" s="163" t="s">
        <v>16</v>
      </c>
      <c r="S10" s="163" t="s">
        <v>8</v>
      </c>
      <c r="T10" s="163" t="s">
        <v>129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3876000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970000+970000+970000+970000+970000+970000+970000</f>
        <v>6790000</v>
      </c>
      <c r="O17" s="135">
        <f>J17+L17-N17</f>
        <v>3876000</v>
      </c>
      <c r="P17" s="69"/>
      <c r="Q17" s="69"/>
      <c r="R17" s="71">
        <v>4212.86</v>
      </c>
      <c r="S17" s="71">
        <v>4212.86</v>
      </c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312000+312000+312000+312000+312000+312000+312000+316000</f>
        <v>2500000</v>
      </c>
      <c r="O18" s="135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3876000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11290000</v>
      </c>
      <c r="O20" s="133">
        <f aca="true" t="shared" si="0" ref="O20:T20">SUM(O17:O19)</f>
        <v>3876000</v>
      </c>
      <c r="P20" s="74">
        <f t="shared" si="0"/>
        <v>0</v>
      </c>
      <c r="Q20" s="74">
        <f t="shared" si="0"/>
        <v>0</v>
      </c>
      <c r="R20" s="74">
        <f t="shared" si="0"/>
        <v>16712.76</v>
      </c>
      <c r="S20" s="74">
        <f t="shared" si="0"/>
        <v>16712.76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81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9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59162.14+53436.77+59162.14+57253.68+59162.14+57253.68+59162.14+59162.14</f>
        <v>463754.83</v>
      </c>
      <c r="S24" s="135">
        <f>59162.14+53436.77+59162.14+57253.68+59162.14+57253.68+59162.14+59162.14</f>
        <v>463754.83</v>
      </c>
      <c r="T24" s="136">
        <f t="shared" si="2"/>
        <v>0</v>
      </c>
    </row>
    <row r="25" spans="1:20" s="62" customFormat="1" ht="7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61150.68+55232.88+61150.69+59178.08+61150.68+59178.09+61150.68</f>
        <v>418191.77999999997</v>
      </c>
      <c r="S25" s="135">
        <f>61150.68+55232.88+61150.69+59178.08+61150.68+59178.09+61150.68</f>
        <v>418191.77999999997</v>
      </c>
      <c r="T25" s="136">
        <f t="shared" si="2"/>
        <v>0</v>
      </c>
    </row>
    <row r="26" spans="1:20" s="62" customFormat="1" ht="7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159941.31+144463.13+159941.31+154781.92+159941.31+154781.92+159941.32+159941.31</f>
        <v>1253733.53</v>
      </c>
      <c r="S26" s="135">
        <f>159941.31+144463.13+159941.31+154781.92+159941.31+154781.92+159941.32+159941.31</f>
        <v>1253733.53</v>
      </c>
      <c r="T26" s="135">
        <f t="shared" si="2"/>
        <v>0</v>
      </c>
    </row>
    <row r="27" spans="1:20" s="62" customFormat="1" ht="67.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97620.07+88172.96+97620.07+94471.03+97620.07+94471.03+97620.07+97620.07</f>
        <v>765215.3700000001</v>
      </c>
      <c r="S27" s="135">
        <f>97620.07+88172.96+97620.07+94471.03+97620.07+94471.03+97620.07+97620.07</f>
        <v>765215.3700000001</v>
      </c>
      <c r="T27" s="135">
        <f t="shared" si="2"/>
        <v>0</v>
      </c>
    </row>
    <row r="28" spans="1:20" s="62" customFormat="1" ht="76.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69120+105205.48+108712.33+105205.48+108712.33+108712.33</f>
        <v>605667.95</v>
      </c>
      <c r="S28" s="135">
        <f>69120+105205.48+108712.33+105205.48+108712.33+108712.33</f>
        <v>605667.95</v>
      </c>
      <c r="T28" s="135">
        <f t="shared" si="2"/>
        <v>0</v>
      </c>
    </row>
    <row r="29" spans="1:20" s="62" customFormat="1" ht="72" customHeight="1">
      <c r="A29" s="139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>
        <f>8050.74+124786.53+124786.53</f>
        <v>257623.8</v>
      </c>
      <c r="S29" s="135">
        <f>8050.74+124786.53+124786.53</f>
        <v>257623.8</v>
      </c>
      <c r="T29" s="135">
        <f t="shared" si="2"/>
        <v>0</v>
      </c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3950078.58</v>
      </c>
      <c r="S30" s="133">
        <f t="shared" si="3"/>
        <v>3950078.58</v>
      </c>
      <c r="T30" s="133">
        <f t="shared" si="3"/>
        <v>0</v>
      </c>
    </row>
    <row r="31" spans="1:20" s="62" customFormat="1" ht="18.75" customHeight="1">
      <c r="A31" s="176" t="s">
        <v>20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76" t="s">
        <v>27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79" t="s">
        <v>31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1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106907000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21890000</v>
      </c>
      <c r="O38" s="133">
        <f t="shared" si="4"/>
        <v>106907000</v>
      </c>
      <c r="P38" s="133">
        <f t="shared" si="4"/>
        <v>0</v>
      </c>
      <c r="Q38" s="133">
        <f t="shared" si="4"/>
        <v>0</v>
      </c>
      <c r="R38" s="133">
        <f t="shared" si="4"/>
        <v>3966791.34</v>
      </c>
      <c r="S38" s="133">
        <f t="shared" si="4"/>
        <v>3966791.34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84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68" t="s">
        <v>73</v>
      </c>
      <c r="H44" s="169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4:H44"/>
    <mergeCell ref="A13:T13"/>
    <mergeCell ref="A16:T16"/>
    <mergeCell ref="A21:T21"/>
    <mergeCell ref="A31:T31"/>
    <mergeCell ref="A34:T34"/>
    <mergeCell ref="A37:T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33" activePane="bottomLeft" state="split"/>
      <selection pane="topLeft" activeCell="S27" sqref="S27"/>
      <selection pane="bottomLeft" activeCell="A22" sqref="A22:T2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136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131</v>
      </c>
      <c r="P10" s="167"/>
      <c r="Q10" s="163" t="s">
        <v>15</v>
      </c>
      <c r="R10" s="163" t="s">
        <v>16</v>
      </c>
      <c r="S10" s="163" t="s">
        <v>8</v>
      </c>
      <c r="T10" s="163" t="s">
        <v>132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2906000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970000+970000+970000+970000+970000+970000+970000+970000</f>
        <v>7760000</v>
      </c>
      <c r="O17" s="135">
        <f>J17+L17-N17</f>
        <v>2906000</v>
      </c>
      <c r="P17" s="69"/>
      <c r="Q17" s="69"/>
      <c r="R17" s="71">
        <v>4212.86</v>
      </c>
      <c r="S17" s="71">
        <v>4212.86</v>
      </c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312000+312000+312000+312000+312000+312000+312000+316000</f>
        <v>2500000</v>
      </c>
      <c r="O18" s="135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71.25" customHeight="1">
      <c r="A20" s="139">
        <v>4</v>
      </c>
      <c r="B20" s="106" t="s">
        <v>133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134</v>
      </c>
      <c r="H20" s="110" t="s">
        <v>54</v>
      </c>
      <c r="I20" s="75" t="s">
        <v>39</v>
      </c>
      <c r="J20" s="101">
        <v>0</v>
      </c>
      <c r="K20" s="72" t="s">
        <v>135</v>
      </c>
      <c r="L20" s="135">
        <v>23118400</v>
      </c>
      <c r="M20" s="72"/>
      <c r="N20" s="135">
        <v>0</v>
      </c>
      <c r="O20" s="135">
        <v>23118400</v>
      </c>
      <c r="P20" s="73"/>
      <c r="Q20" s="73"/>
      <c r="R20" s="137">
        <v>0</v>
      </c>
      <c r="S20" s="137">
        <v>0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3">
        <f>SUM(F17:F20)</f>
        <v>26024400</v>
      </c>
      <c r="G21" s="74" t="s">
        <v>7</v>
      </c>
      <c r="H21" s="74" t="s">
        <v>7</v>
      </c>
      <c r="I21" s="74" t="s">
        <v>7</v>
      </c>
      <c r="J21" s="133">
        <f>SUM(J17:J20)</f>
        <v>15166000</v>
      </c>
      <c r="K21" s="74" t="s">
        <v>7</v>
      </c>
      <c r="L21" s="133">
        <f>SUM(L17:L20)</f>
        <v>23118400</v>
      </c>
      <c r="M21" s="74" t="s">
        <v>7</v>
      </c>
      <c r="N21" s="133">
        <f>SUM(N17:N20)</f>
        <v>12260000</v>
      </c>
      <c r="O21" s="133">
        <f aca="true" t="shared" si="0" ref="O21:T21">SUM(O17:O20)</f>
        <v>26024400</v>
      </c>
      <c r="P21" s="133">
        <f t="shared" si="0"/>
        <v>0</v>
      </c>
      <c r="Q21" s="133">
        <f t="shared" si="0"/>
        <v>0</v>
      </c>
      <c r="R21" s="133">
        <f t="shared" si="0"/>
        <v>16712.76</v>
      </c>
      <c r="S21" s="133">
        <f t="shared" si="0"/>
        <v>16712.76</v>
      </c>
      <c r="T21" s="133">
        <f t="shared" si="0"/>
        <v>0</v>
      </c>
    </row>
    <row r="22" spans="1:20" s="62" customFormat="1" ht="31.5" customHeight="1">
      <c r="A22" s="176" t="s">
        <v>19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8"/>
    </row>
    <row r="23" spans="1:22" s="62" customFormat="1" ht="81" customHeight="1">
      <c r="A23" s="138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113</v>
      </c>
      <c r="N23" s="101">
        <v>5000000</v>
      </c>
      <c r="O23" s="135">
        <f aca="true" t="shared" si="2" ref="O23:O30">J23+L23-N23</f>
        <v>0</v>
      </c>
      <c r="P23" s="75"/>
      <c r="Q23" s="75"/>
      <c r="R23" s="135">
        <f>-1996.62+39705.48+35863.01+12808.22</f>
        <v>86380.09</v>
      </c>
      <c r="S23" s="135">
        <f>39705.48+35863.01-1996.62+12808.22</f>
        <v>86380.09000000001</v>
      </c>
      <c r="T23" s="136">
        <f aca="true" t="shared" si="3" ref="T23:T30">Q23+R23-S23</f>
        <v>0</v>
      </c>
      <c r="U23" s="62">
        <v>1996.62</v>
      </c>
      <c r="V23" s="83" t="s">
        <v>105</v>
      </c>
    </row>
    <row r="24" spans="1:20" s="62" customFormat="1" ht="74.25" customHeight="1">
      <c r="A24" s="138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113</v>
      </c>
      <c r="N24" s="101">
        <v>5600000</v>
      </c>
      <c r="O24" s="135">
        <f t="shared" si="2"/>
        <v>0</v>
      </c>
      <c r="P24" s="75"/>
      <c r="Q24" s="75"/>
      <c r="R24" s="135">
        <f>44707.95+14421.91+40381.37</f>
        <v>99511.23000000001</v>
      </c>
      <c r="S24" s="135">
        <f>44707.95+14421.91+40381.37</f>
        <v>99511.23000000001</v>
      </c>
      <c r="T24" s="136">
        <f t="shared" si="3"/>
        <v>0</v>
      </c>
    </row>
    <row r="25" spans="1:20" s="62" customFormat="1" ht="70.5" customHeight="1">
      <c r="A25" s="138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135</v>
      </c>
      <c r="N25" s="101">
        <v>10000000</v>
      </c>
      <c r="O25" s="135">
        <f t="shared" si="2"/>
        <v>0</v>
      </c>
      <c r="P25" s="75"/>
      <c r="Q25" s="75"/>
      <c r="R25" s="135">
        <f>59162.14+53436.77+59162.14+57253.68+59162.14+57253.68+59162.14+59162.14+28626.84</f>
        <v>492381.67000000004</v>
      </c>
      <c r="S25" s="135">
        <f>59162.14+53436.77+59162.14+57253.68+59162.14+57253.68+59162.14+59162.14+28626.84</f>
        <v>492381.67000000004</v>
      </c>
      <c r="T25" s="136">
        <f t="shared" si="3"/>
        <v>0</v>
      </c>
    </row>
    <row r="26" spans="1:20" s="62" customFormat="1" ht="71.25" customHeight="1">
      <c r="A26" s="138">
        <v>4</v>
      </c>
      <c r="B26" s="106" t="s">
        <v>81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135</v>
      </c>
      <c r="N26" s="101">
        <v>10000000</v>
      </c>
      <c r="O26" s="135">
        <f t="shared" si="2"/>
        <v>0</v>
      </c>
      <c r="P26" s="75"/>
      <c r="Q26" s="75"/>
      <c r="R26" s="135">
        <f>61150.68+55232.88+61150.69+59178.08+61150.68+59178.09+61150.68+29589.04+61150.69</f>
        <v>508931.50999999995</v>
      </c>
      <c r="S26" s="135">
        <f>61150.68+55232.88+61150.69+59178.08+61150.68+59178.09+61150.68+29589.04+61150.69</f>
        <v>508931.50999999995</v>
      </c>
      <c r="T26" s="136">
        <f t="shared" si="3"/>
        <v>0</v>
      </c>
    </row>
    <row r="27" spans="1:20" s="62" customFormat="1" ht="71.25" customHeight="1">
      <c r="A27" s="139">
        <v>5</v>
      </c>
      <c r="B27" s="106" t="s">
        <v>85</v>
      </c>
      <c r="C27" s="107" t="s">
        <v>86</v>
      </c>
      <c r="D27" s="108">
        <v>26000000</v>
      </c>
      <c r="E27" s="109" t="s">
        <v>36</v>
      </c>
      <c r="F27" s="101">
        <f t="shared" si="1"/>
        <v>22881600</v>
      </c>
      <c r="G27" s="72" t="s">
        <v>87</v>
      </c>
      <c r="H27" s="110" t="s">
        <v>54</v>
      </c>
      <c r="I27" s="75">
        <v>7.24</v>
      </c>
      <c r="J27" s="101">
        <v>26000000</v>
      </c>
      <c r="K27" s="114" t="s">
        <v>88</v>
      </c>
      <c r="L27" s="73"/>
      <c r="M27" s="72"/>
      <c r="N27" s="101">
        <v>3118400</v>
      </c>
      <c r="O27" s="135">
        <f t="shared" si="2"/>
        <v>22881600</v>
      </c>
      <c r="P27" s="75"/>
      <c r="Q27" s="75"/>
      <c r="R27" s="135">
        <f>159941.31+144463.13+159941.31+154781.92+159941.31+154781.92+159941.32+159941.31+145499.77</f>
        <v>1399233.3</v>
      </c>
      <c r="S27" s="135">
        <f>159941.31+144463.13+159941.31+154781.92+159941.31+154781.92+159941.32+159941.31+145499.77</f>
        <v>1399233.3</v>
      </c>
      <c r="T27" s="135">
        <f t="shared" si="3"/>
        <v>0</v>
      </c>
    </row>
    <row r="28" spans="1:20" s="62" customFormat="1" ht="67.5" customHeight="1">
      <c r="A28" s="139">
        <v>6</v>
      </c>
      <c r="B28" s="106" t="s">
        <v>94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95</v>
      </c>
      <c r="H28" s="110" t="s">
        <v>54</v>
      </c>
      <c r="I28" s="75">
        <v>6.42</v>
      </c>
      <c r="J28" s="101">
        <v>17900000</v>
      </c>
      <c r="K28" s="114" t="s">
        <v>96</v>
      </c>
      <c r="L28" s="73"/>
      <c r="M28" s="72"/>
      <c r="N28" s="101"/>
      <c r="O28" s="135">
        <f t="shared" si="2"/>
        <v>17900000</v>
      </c>
      <c r="P28" s="75"/>
      <c r="Q28" s="75"/>
      <c r="R28" s="135">
        <f>97620.07+88172.96+97620.07+94471.03+97620.07+94471.03+97620.07+97620.07+94471.03</f>
        <v>859686.4000000001</v>
      </c>
      <c r="S28" s="135">
        <f>97620.07+88172.96+97620.07+94471.03+97620.07+94471.03+97620.07+97620.07+94471.03</f>
        <v>859686.4000000001</v>
      </c>
      <c r="T28" s="135">
        <f t="shared" si="3"/>
        <v>0</v>
      </c>
    </row>
    <row r="29" spans="1:20" s="62" customFormat="1" ht="76.5" customHeight="1">
      <c r="A29" s="139">
        <v>7</v>
      </c>
      <c r="B29" s="106" t="s">
        <v>109</v>
      </c>
      <c r="C29" s="107" t="s">
        <v>110</v>
      </c>
      <c r="D29" s="108">
        <v>20000000</v>
      </c>
      <c r="E29" s="109" t="s">
        <v>36</v>
      </c>
      <c r="F29" s="101">
        <f t="shared" si="1"/>
        <v>20000000</v>
      </c>
      <c r="G29" s="72" t="s">
        <v>111</v>
      </c>
      <c r="H29" s="110" t="s">
        <v>54</v>
      </c>
      <c r="I29" s="75">
        <v>6.4</v>
      </c>
      <c r="J29" s="101">
        <v>0</v>
      </c>
      <c r="K29" s="114" t="s">
        <v>112</v>
      </c>
      <c r="L29" s="101">
        <v>20000000</v>
      </c>
      <c r="M29" s="72"/>
      <c r="N29" s="101"/>
      <c r="O29" s="135">
        <f t="shared" si="2"/>
        <v>20000000</v>
      </c>
      <c r="P29" s="75"/>
      <c r="Q29" s="75"/>
      <c r="R29" s="135">
        <f>69120+105205.48+108712.33+105205.48+108712.33+108712.33+105205.48</f>
        <v>710873.4299999999</v>
      </c>
      <c r="S29" s="135">
        <f>69120+105205.48+108712.33+105205.48+108712.33+108712.33+105205.48</f>
        <v>710873.4299999999</v>
      </c>
      <c r="T29" s="135">
        <f t="shared" si="3"/>
        <v>0</v>
      </c>
    </row>
    <row r="30" spans="1:20" s="62" customFormat="1" ht="72" customHeight="1">
      <c r="A30" s="139">
        <v>8</v>
      </c>
      <c r="B30" s="106" t="s">
        <v>121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122</v>
      </c>
      <c r="H30" s="110" t="s">
        <v>54</v>
      </c>
      <c r="I30" s="75">
        <v>7.68</v>
      </c>
      <c r="J30" s="101">
        <v>0</v>
      </c>
      <c r="K30" s="72" t="s">
        <v>122</v>
      </c>
      <c r="L30" s="101">
        <v>19131000</v>
      </c>
      <c r="M30" s="72"/>
      <c r="N30" s="101"/>
      <c r="O30" s="135">
        <f t="shared" si="2"/>
        <v>19131000</v>
      </c>
      <c r="P30" s="75"/>
      <c r="Q30" s="75"/>
      <c r="R30" s="135">
        <f>8050.74+124786.53+124786.53+120761.16</f>
        <v>378384.95999999996</v>
      </c>
      <c r="S30" s="135">
        <f>8050.74+124786.53+124786.53+120761.16</f>
        <v>378384.95999999996</v>
      </c>
      <c r="T30" s="135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3">
        <f>F23+F24+F25+F26+F27+F28+F29+F30</f>
        <v>79912600</v>
      </c>
      <c r="G31" s="74" t="s">
        <v>7</v>
      </c>
      <c r="H31" s="74" t="s">
        <v>7</v>
      </c>
      <c r="I31" s="74" t="s">
        <v>7</v>
      </c>
      <c r="J31" s="133">
        <f>J23+J24+J25+J26+J27+J28+J29+J30</f>
        <v>74500000</v>
      </c>
      <c r="K31" s="133" t="s">
        <v>7</v>
      </c>
      <c r="L31" s="133">
        <f>L23+L24+L25+L26+L27+L28+L29+L30</f>
        <v>39131000</v>
      </c>
      <c r="M31" s="133" t="s">
        <v>7</v>
      </c>
      <c r="N31" s="133">
        <f>N23+N24+N25+N26+N27+N28+N29+N30</f>
        <v>33718400</v>
      </c>
      <c r="O31" s="133">
        <f aca="true" t="shared" si="4" ref="O31:T31">O23+O24+O25+O26+O27+O28+O29+O30</f>
        <v>79912600</v>
      </c>
      <c r="P31" s="133">
        <f t="shared" si="4"/>
        <v>0</v>
      </c>
      <c r="Q31" s="133">
        <f t="shared" si="4"/>
        <v>0</v>
      </c>
      <c r="R31" s="133">
        <f t="shared" si="4"/>
        <v>4535382.59</v>
      </c>
      <c r="S31" s="133">
        <f t="shared" si="4"/>
        <v>4535382.59</v>
      </c>
      <c r="T31" s="133">
        <f t="shared" si="4"/>
        <v>0</v>
      </c>
    </row>
    <row r="32" spans="1:20" s="62" customFormat="1" ht="18.75" customHeight="1">
      <c r="A32" s="176" t="s">
        <v>20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8"/>
    </row>
    <row r="33" spans="1:20" s="62" customFormat="1" ht="2.2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22.5" customHeight="1">
      <c r="A35" s="176" t="s">
        <v>27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8"/>
    </row>
    <row r="36" spans="1:20" s="62" customFormat="1" ht="3" customHeight="1" hidden="1">
      <c r="A36" s="105"/>
      <c r="B36" s="113"/>
      <c r="C36" s="116"/>
      <c r="D36" s="74"/>
      <c r="E36" s="117"/>
      <c r="F36" s="117"/>
      <c r="G36" s="118"/>
      <c r="H36" s="119"/>
      <c r="I36" s="73"/>
      <c r="J36" s="120"/>
      <c r="K36" s="73"/>
      <c r="L36" s="73"/>
      <c r="M36" s="73"/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20"/>
      <c r="K37" s="74" t="s">
        <v>7</v>
      </c>
      <c r="L37" s="73"/>
      <c r="M37" s="74" t="s">
        <v>7</v>
      </c>
      <c r="N37" s="121"/>
      <c r="O37" s="73"/>
      <c r="P37" s="73"/>
      <c r="Q37" s="73"/>
      <c r="R37" s="73"/>
      <c r="S37" s="73"/>
      <c r="T37" s="111"/>
    </row>
    <row r="38" spans="1:20" s="62" customFormat="1" ht="18.75" customHeight="1">
      <c r="A38" s="179" t="s">
        <v>31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1"/>
    </row>
    <row r="39" spans="1:20" s="123" customFormat="1" ht="21.75" customHeight="1">
      <c r="A39" s="122"/>
      <c r="B39" s="122"/>
      <c r="C39" s="74" t="s">
        <v>7</v>
      </c>
      <c r="D39" s="74" t="s">
        <v>7</v>
      </c>
      <c r="E39" s="74" t="s">
        <v>7</v>
      </c>
      <c r="F39" s="133">
        <f>F21+F31</f>
        <v>105937000</v>
      </c>
      <c r="G39" s="74" t="s">
        <v>7</v>
      </c>
      <c r="H39" s="74" t="s">
        <v>7</v>
      </c>
      <c r="I39" s="74" t="s">
        <v>7</v>
      </c>
      <c r="J39" s="133">
        <f>J21+J31</f>
        <v>89666000</v>
      </c>
      <c r="K39" s="133" t="s">
        <v>7</v>
      </c>
      <c r="L39" s="133">
        <f>L21+L31</f>
        <v>62249400</v>
      </c>
      <c r="M39" s="133" t="s">
        <v>7</v>
      </c>
      <c r="N39" s="133">
        <f aca="true" t="shared" si="5" ref="N39:T39">N21+N31</f>
        <v>45978400</v>
      </c>
      <c r="O39" s="133">
        <f t="shared" si="5"/>
        <v>105937000</v>
      </c>
      <c r="P39" s="133">
        <f t="shared" si="5"/>
        <v>0</v>
      </c>
      <c r="Q39" s="133">
        <f t="shared" si="5"/>
        <v>0</v>
      </c>
      <c r="R39" s="133">
        <f t="shared" si="5"/>
        <v>4552095.35</v>
      </c>
      <c r="S39" s="133">
        <f t="shared" si="5"/>
        <v>4552095.35</v>
      </c>
      <c r="T39" s="133">
        <f t="shared" si="5"/>
        <v>0</v>
      </c>
    </row>
    <row r="40" spans="1:20" ht="10.5" customHeight="1">
      <c r="A40" s="124"/>
      <c r="B40" s="125"/>
      <c r="C40" s="125"/>
      <c r="D40" s="126"/>
      <c r="E40" s="126"/>
      <c r="F40" s="126"/>
      <c r="G40" s="127"/>
      <c r="H40" s="127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8" t="s">
        <v>84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14.25" customHeight="1">
      <c r="A43" s="128" t="s">
        <v>70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14.25" customHeight="1">
      <c r="A45" s="128" t="s">
        <v>71</v>
      </c>
      <c r="B45" s="129"/>
      <c r="C45" s="129"/>
      <c r="D45" s="130"/>
      <c r="E45" s="130"/>
      <c r="F45" s="130"/>
      <c r="G45" s="168" t="s">
        <v>73</v>
      </c>
      <c r="H45" s="169"/>
      <c r="J45" s="128"/>
      <c r="K45" s="128"/>
    </row>
    <row r="46" ht="12" customHeight="1"/>
    <row r="47" ht="12.75" hidden="1"/>
    <row r="48" ht="11.25" customHeight="1">
      <c r="A48" s="61" t="s">
        <v>21</v>
      </c>
    </row>
    <row r="49" spans="1:11" ht="12.75">
      <c r="A49" s="128"/>
      <c r="B49" s="129"/>
      <c r="C49" s="129"/>
      <c r="D49" s="130"/>
      <c r="E49" s="130"/>
      <c r="F49" s="130"/>
      <c r="G49" s="131"/>
      <c r="H49" s="131"/>
      <c r="J49" s="128"/>
      <c r="K49" s="128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2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5:H45"/>
    <mergeCell ref="A13:T13"/>
    <mergeCell ref="A16:T16"/>
    <mergeCell ref="A22:T22"/>
    <mergeCell ref="A32:T32"/>
    <mergeCell ref="A35:T35"/>
    <mergeCell ref="A38:T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A11">
      <pane ySplit="2355" topLeftCell="A16" activePane="bottomLeft" state="split"/>
      <selection pane="topLeft" activeCell="A11" sqref="A11"/>
      <selection pane="bottomLeft" activeCell="F17" sqref="F1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97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82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91</v>
      </c>
      <c r="P10" s="167"/>
      <c r="Q10" s="163" t="s">
        <v>15</v>
      </c>
      <c r="R10" s="163" t="s">
        <v>16</v>
      </c>
      <c r="S10" s="163" t="s">
        <v>8</v>
      </c>
      <c r="T10" s="163" t="s">
        <v>92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 aca="true" t="shared" si="0" ref="F17:F22">O17</f>
        <v>10666000</v>
      </c>
      <c r="G17" s="60" t="s">
        <v>37</v>
      </c>
      <c r="H17" s="103" t="s">
        <v>38</v>
      </c>
      <c r="I17" s="66" t="s">
        <v>39</v>
      </c>
      <c r="J17" s="134">
        <v>19664000</v>
      </c>
      <c r="K17" s="66" t="s">
        <v>40</v>
      </c>
      <c r="L17" s="69"/>
      <c r="M17" s="60"/>
      <c r="N17" s="135">
        <f>3272000+818000+818000+818000+818000+818000+818000+818000</f>
        <v>8998000</v>
      </c>
      <c r="O17" s="135">
        <f aca="true" t="shared" si="1" ref="O17:O22">J17+L17-N17</f>
        <v>10666000</v>
      </c>
      <c r="P17" s="69"/>
      <c r="Q17" s="69"/>
      <c r="R17" s="71">
        <f>8933.46+6497.5</f>
        <v>15430.96</v>
      </c>
      <c r="S17" s="71">
        <f>8933.46+6497.5</f>
        <v>15430.96</v>
      </c>
      <c r="T17" s="104">
        <f aca="true" t="shared" si="2" ref="T17:T22">Q17+R17-S17</f>
        <v>0</v>
      </c>
    </row>
    <row r="18" spans="1:20" s="62" customFormat="1" ht="131.25" customHeight="1">
      <c r="A18" s="105">
        <v>2</v>
      </c>
      <c r="B18" s="106" t="s">
        <v>41</v>
      </c>
      <c r="C18" s="107" t="s">
        <v>34</v>
      </c>
      <c r="D18" s="101">
        <v>20000000</v>
      </c>
      <c r="E18" s="109" t="s">
        <v>36</v>
      </c>
      <c r="F18" s="101">
        <f t="shared" si="0"/>
        <v>0</v>
      </c>
      <c r="G18" s="72" t="s">
        <v>45</v>
      </c>
      <c r="H18" s="110" t="s">
        <v>42</v>
      </c>
      <c r="I18" s="75" t="s">
        <v>43</v>
      </c>
      <c r="J18" s="101">
        <v>3578000</v>
      </c>
      <c r="K18" s="72" t="s">
        <v>44</v>
      </c>
      <c r="L18" s="73"/>
      <c r="M18" s="72" t="s">
        <v>79</v>
      </c>
      <c r="N18" s="135">
        <v>3578000</v>
      </c>
      <c r="O18" s="135">
        <f t="shared" si="1"/>
        <v>0</v>
      </c>
      <c r="P18" s="73"/>
      <c r="Q18" s="73"/>
      <c r="R18" s="71">
        <v>15635.57</v>
      </c>
      <c r="S18" s="71">
        <v>15635.57</v>
      </c>
      <c r="T18" s="104">
        <f t="shared" si="2"/>
        <v>0</v>
      </c>
    </row>
    <row r="19" spans="1:20" s="62" customFormat="1" ht="131.25" customHeight="1">
      <c r="A19" s="105">
        <v>3</v>
      </c>
      <c r="B19" s="106" t="s">
        <v>46</v>
      </c>
      <c r="C19" s="107" t="s">
        <v>34</v>
      </c>
      <c r="D19" s="101">
        <v>1400000</v>
      </c>
      <c r="E19" s="109" t="s">
        <v>36</v>
      </c>
      <c r="F19" s="101">
        <f t="shared" si="0"/>
        <v>0</v>
      </c>
      <c r="G19" s="72" t="s">
        <v>47</v>
      </c>
      <c r="H19" s="110" t="s">
        <v>42</v>
      </c>
      <c r="I19" s="75" t="s">
        <v>43</v>
      </c>
      <c r="J19" s="101">
        <v>342000</v>
      </c>
      <c r="K19" s="72" t="s">
        <v>48</v>
      </c>
      <c r="L19" s="73"/>
      <c r="M19" s="72" t="s">
        <v>90</v>
      </c>
      <c r="N19" s="135">
        <f>230000+46000+66000</f>
        <v>342000</v>
      </c>
      <c r="O19" s="135">
        <f t="shared" si="1"/>
        <v>0</v>
      </c>
      <c r="P19" s="73"/>
      <c r="Q19" s="73"/>
      <c r="R19" s="71">
        <f>36.8+2021.78+43.28</f>
        <v>2101.86</v>
      </c>
      <c r="S19" s="71">
        <f>36.8+2021.78+43.28</f>
        <v>2101.86</v>
      </c>
      <c r="T19" s="104">
        <f t="shared" si="2"/>
        <v>0</v>
      </c>
    </row>
    <row r="20" spans="1:20" s="62" customFormat="1" ht="131.25" customHeight="1">
      <c r="A20" s="105">
        <v>4</v>
      </c>
      <c r="B20" s="106" t="s">
        <v>49</v>
      </c>
      <c r="C20" s="107" t="s">
        <v>34</v>
      </c>
      <c r="D20" s="101">
        <v>10000000</v>
      </c>
      <c r="E20" s="109" t="s">
        <v>36</v>
      </c>
      <c r="F20" s="101">
        <f t="shared" si="0"/>
        <v>0</v>
      </c>
      <c r="G20" s="72" t="s">
        <v>50</v>
      </c>
      <c r="H20" s="110" t="s">
        <v>38</v>
      </c>
      <c r="I20" s="75" t="s">
        <v>43</v>
      </c>
      <c r="J20" s="101">
        <v>3560000</v>
      </c>
      <c r="K20" s="72" t="s">
        <v>51</v>
      </c>
      <c r="L20" s="73"/>
      <c r="M20" s="72" t="s">
        <v>93</v>
      </c>
      <c r="N20" s="135">
        <f>1480000+296000+296000+296000+296000+296000+296000+304000</f>
        <v>3560000</v>
      </c>
      <c r="O20" s="135">
        <f t="shared" si="1"/>
        <v>0</v>
      </c>
      <c r="P20" s="73"/>
      <c r="Q20" s="73"/>
      <c r="R20" s="71">
        <f>236.8+26137.39+5968.12</f>
        <v>32342.309999999998</v>
      </c>
      <c r="S20" s="71">
        <f>236.8+26137.39+5968.12</f>
        <v>32342.309999999998</v>
      </c>
      <c r="T20" s="104">
        <f t="shared" si="2"/>
        <v>0</v>
      </c>
    </row>
    <row r="21" spans="1:20" s="62" customFormat="1" ht="131.25" customHeight="1">
      <c r="A21" s="105">
        <v>5</v>
      </c>
      <c r="B21" s="106" t="s">
        <v>52</v>
      </c>
      <c r="C21" s="107" t="s">
        <v>34</v>
      </c>
      <c r="D21" s="101">
        <v>2500000</v>
      </c>
      <c r="E21" s="109" t="s">
        <v>36</v>
      </c>
      <c r="F21" s="101">
        <f t="shared" si="0"/>
        <v>2500000</v>
      </c>
      <c r="G21" s="72" t="s">
        <v>53</v>
      </c>
      <c r="H21" s="110" t="s">
        <v>54</v>
      </c>
      <c r="I21" s="75" t="s">
        <v>43</v>
      </c>
      <c r="J21" s="101">
        <v>2500000</v>
      </c>
      <c r="K21" s="72" t="s">
        <v>55</v>
      </c>
      <c r="L21" s="73"/>
      <c r="M21" s="72"/>
      <c r="N21" s="135"/>
      <c r="O21" s="135">
        <f t="shared" si="1"/>
        <v>2500000</v>
      </c>
      <c r="P21" s="73"/>
      <c r="Q21" s="73"/>
      <c r="R21" s="71">
        <f>24143.99+17956.69</f>
        <v>42100.68</v>
      </c>
      <c r="S21" s="71">
        <f>24143.99+17956.69</f>
        <v>42100.68</v>
      </c>
      <c r="T21" s="104">
        <f t="shared" si="2"/>
        <v>0</v>
      </c>
    </row>
    <row r="22" spans="1:20" s="62" customFormat="1" ht="131.25" customHeight="1">
      <c r="A22" s="105">
        <v>6</v>
      </c>
      <c r="B22" s="106" t="s">
        <v>56</v>
      </c>
      <c r="C22" s="107" t="s">
        <v>34</v>
      </c>
      <c r="D22" s="101">
        <v>12340000</v>
      </c>
      <c r="E22" s="109" t="s">
        <v>36</v>
      </c>
      <c r="F22" s="101">
        <f t="shared" si="0"/>
        <v>2000000</v>
      </c>
      <c r="G22" s="72" t="s">
        <v>37</v>
      </c>
      <c r="H22" s="110" t="s">
        <v>54</v>
      </c>
      <c r="I22" s="75" t="s">
        <v>39</v>
      </c>
      <c r="J22" s="101">
        <v>12340000</v>
      </c>
      <c r="K22" s="72" t="s">
        <v>57</v>
      </c>
      <c r="L22" s="73"/>
      <c r="M22" s="72"/>
      <c r="N22" s="135">
        <f>784000+1300000+1300000+1364000+1864000+1475000+1475000+778000</f>
        <v>10340000</v>
      </c>
      <c r="O22" s="135">
        <f t="shared" si="1"/>
        <v>2000000</v>
      </c>
      <c r="P22" s="73"/>
      <c r="Q22" s="73"/>
      <c r="R22" s="71">
        <f>5891.63+2810.2</f>
        <v>8701.83</v>
      </c>
      <c r="S22" s="71">
        <f>5891.63+2810.2</f>
        <v>8701.83</v>
      </c>
      <c r="T22" s="104">
        <f t="shared" si="2"/>
        <v>0</v>
      </c>
    </row>
    <row r="23" spans="1:20" s="62" customFormat="1" ht="18.75" customHeight="1">
      <c r="A23" s="112" t="s">
        <v>1</v>
      </c>
      <c r="B23" s="113"/>
      <c r="C23" s="74" t="s">
        <v>7</v>
      </c>
      <c r="D23" s="74" t="s">
        <v>7</v>
      </c>
      <c r="E23" s="74" t="s">
        <v>7</v>
      </c>
      <c r="F23" s="133">
        <f>SUM(F17:F22)</f>
        <v>15166000</v>
      </c>
      <c r="G23" s="74" t="s">
        <v>7</v>
      </c>
      <c r="H23" s="74" t="s">
        <v>7</v>
      </c>
      <c r="I23" s="74" t="s">
        <v>7</v>
      </c>
      <c r="J23" s="133">
        <f>J17+J18+J19+J20+J21+J22</f>
        <v>41984000</v>
      </c>
      <c r="K23" s="74" t="s">
        <v>7</v>
      </c>
      <c r="L23" s="74">
        <f>L17+L18+L19+L20+L21+L22</f>
        <v>0</v>
      </c>
      <c r="M23" s="74" t="s">
        <v>7</v>
      </c>
      <c r="N23" s="133">
        <f aca="true" t="shared" si="3" ref="N23:T23">N17+N18+N19+N20+N21+N22</f>
        <v>26818000</v>
      </c>
      <c r="O23" s="133">
        <f t="shared" si="3"/>
        <v>15166000</v>
      </c>
      <c r="P23" s="74">
        <f t="shared" si="3"/>
        <v>0</v>
      </c>
      <c r="Q23" s="74">
        <f t="shared" si="3"/>
        <v>0</v>
      </c>
      <c r="R23" s="133">
        <f t="shared" si="3"/>
        <v>116313.21</v>
      </c>
      <c r="S23" s="133">
        <f t="shared" si="3"/>
        <v>116313.21</v>
      </c>
      <c r="T23" s="133">
        <f t="shared" si="3"/>
        <v>0</v>
      </c>
    </row>
    <row r="24" spans="1:20" s="62" customFormat="1" ht="31.5" customHeight="1">
      <c r="A24" s="176" t="s">
        <v>19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</row>
    <row r="25" spans="1:20" s="62" customFormat="1" ht="131.25" customHeight="1">
      <c r="A25" s="105">
        <v>1</v>
      </c>
      <c r="B25" s="106" t="s">
        <v>61</v>
      </c>
      <c r="C25" s="107" t="s">
        <v>58</v>
      </c>
      <c r="D25" s="101">
        <v>10000000</v>
      </c>
      <c r="E25" s="109" t="s">
        <v>36</v>
      </c>
      <c r="F25" s="101">
        <f aca="true" t="shared" si="4" ref="F25:F30">O25</f>
        <v>0</v>
      </c>
      <c r="G25" s="72" t="s">
        <v>59</v>
      </c>
      <c r="H25" s="110" t="s">
        <v>54</v>
      </c>
      <c r="I25" s="75">
        <v>9.43</v>
      </c>
      <c r="J25" s="101">
        <v>8700000</v>
      </c>
      <c r="K25" s="72" t="s">
        <v>57</v>
      </c>
      <c r="L25" s="71"/>
      <c r="M25" s="72" t="s">
        <v>80</v>
      </c>
      <c r="N25" s="101">
        <v>8700000</v>
      </c>
      <c r="O25" s="135">
        <f aca="true" t="shared" si="5" ref="O25:O32">J25+L25-N25</f>
        <v>0</v>
      </c>
      <c r="P25" s="75"/>
      <c r="Q25" s="75"/>
      <c r="R25" s="135">
        <v>73828.86</v>
      </c>
      <c r="S25" s="135">
        <v>73828.86</v>
      </c>
      <c r="T25" s="136">
        <f aca="true" t="shared" si="6" ref="T25:T31">Q25+R25-S25</f>
        <v>0</v>
      </c>
    </row>
    <row r="26" spans="1:20" s="62" customFormat="1" ht="131.25" customHeight="1">
      <c r="A26" s="105">
        <v>2</v>
      </c>
      <c r="B26" s="106" t="s">
        <v>63</v>
      </c>
      <c r="C26" s="107" t="s">
        <v>64</v>
      </c>
      <c r="D26" s="101">
        <v>16000000</v>
      </c>
      <c r="E26" s="109" t="s">
        <v>36</v>
      </c>
      <c r="F26" s="101">
        <f t="shared" si="4"/>
        <v>0</v>
      </c>
      <c r="G26" s="72" t="s">
        <v>65</v>
      </c>
      <c r="H26" s="110" t="s">
        <v>54</v>
      </c>
      <c r="I26" s="75">
        <v>9.73</v>
      </c>
      <c r="J26" s="101">
        <v>16000000</v>
      </c>
      <c r="K26" s="72" t="s">
        <v>66</v>
      </c>
      <c r="L26" s="71"/>
      <c r="M26" s="72" t="s">
        <v>89</v>
      </c>
      <c r="N26" s="101">
        <v>16000000</v>
      </c>
      <c r="O26" s="135">
        <f t="shared" si="5"/>
        <v>0</v>
      </c>
      <c r="P26" s="75"/>
      <c r="Q26" s="75"/>
      <c r="R26" s="135">
        <f>634555.89+76599.34</f>
        <v>711155.23</v>
      </c>
      <c r="S26" s="135">
        <f>634555.89+76599.34</f>
        <v>711155.23</v>
      </c>
      <c r="T26" s="136">
        <f t="shared" si="6"/>
        <v>0</v>
      </c>
    </row>
    <row r="27" spans="1:20" s="62" customFormat="1" ht="131.25" customHeight="1">
      <c r="A27" s="105">
        <v>3</v>
      </c>
      <c r="B27" s="106" t="s">
        <v>67</v>
      </c>
      <c r="C27" s="107" t="s">
        <v>68</v>
      </c>
      <c r="D27" s="101">
        <v>15000000</v>
      </c>
      <c r="E27" s="109" t="s">
        <v>36</v>
      </c>
      <c r="F27" s="101">
        <f t="shared" si="4"/>
        <v>5000000</v>
      </c>
      <c r="G27" s="72" t="s">
        <v>69</v>
      </c>
      <c r="H27" s="110" t="s">
        <v>54</v>
      </c>
      <c r="I27" s="75">
        <v>9.35</v>
      </c>
      <c r="J27" s="101">
        <v>15000000</v>
      </c>
      <c r="K27" s="72" t="s">
        <v>76</v>
      </c>
      <c r="L27" s="71"/>
      <c r="M27" s="72"/>
      <c r="N27" s="101">
        <f>2200000+7800000</f>
        <v>10000000</v>
      </c>
      <c r="O27" s="135">
        <f t="shared" si="5"/>
        <v>5000000</v>
      </c>
      <c r="P27" s="75"/>
      <c r="Q27" s="75"/>
      <c r="R27" s="135">
        <f>594742.01+114959.02+118790.98+118790.98+114959.02+118790.98+114959.02+118790.98</f>
        <v>1414782.99</v>
      </c>
      <c r="S27" s="135">
        <f>594742.01+114959.02+118790.98+118790.98+114959.02+118790.98+114959.02+118790.98</f>
        <v>1414782.99</v>
      </c>
      <c r="T27" s="136">
        <f t="shared" si="6"/>
        <v>0</v>
      </c>
    </row>
    <row r="28" spans="1:20" s="62" customFormat="1" ht="131.25" customHeight="1">
      <c r="A28" s="105">
        <v>4</v>
      </c>
      <c r="B28" s="106" t="s">
        <v>74</v>
      </c>
      <c r="C28" s="107" t="s">
        <v>58</v>
      </c>
      <c r="D28" s="101">
        <v>5600000</v>
      </c>
      <c r="E28" s="109" t="s">
        <v>36</v>
      </c>
      <c r="F28" s="101">
        <f t="shared" si="4"/>
        <v>5600000</v>
      </c>
      <c r="G28" s="72" t="s">
        <v>62</v>
      </c>
      <c r="H28" s="110" t="s">
        <v>54</v>
      </c>
      <c r="I28" s="75">
        <v>9.4</v>
      </c>
      <c r="J28" s="101">
        <v>5600000</v>
      </c>
      <c r="K28" s="72" t="s">
        <v>75</v>
      </c>
      <c r="L28" s="71"/>
      <c r="M28" s="72"/>
      <c r="N28" s="101"/>
      <c r="O28" s="135">
        <f t="shared" si="5"/>
        <v>5600000</v>
      </c>
      <c r="P28" s="75"/>
      <c r="Q28" s="75"/>
      <c r="R28" s="135">
        <f>174028.42+44585.79+43147.54+44585.79+44585.79+43147.54+44585.8+43147.54+44585.79</f>
        <v>526400</v>
      </c>
      <c r="S28" s="135">
        <f>174028.42+44585.79+43147.54+44585.79+44585.79+43147.54+44585.8+43147.54+44585.79</f>
        <v>526400</v>
      </c>
      <c r="T28" s="136">
        <f t="shared" si="6"/>
        <v>0</v>
      </c>
    </row>
    <row r="29" spans="1:20" s="62" customFormat="1" ht="131.25" customHeight="1">
      <c r="A29" s="105">
        <v>5</v>
      </c>
      <c r="B29" s="106" t="s">
        <v>77</v>
      </c>
      <c r="C29" s="107" t="s">
        <v>68</v>
      </c>
      <c r="D29" s="101">
        <v>10000000</v>
      </c>
      <c r="E29" s="109" t="s">
        <v>36</v>
      </c>
      <c r="F29" s="101">
        <f t="shared" si="4"/>
        <v>10000000</v>
      </c>
      <c r="G29" s="72" t="s">
        <v>78</v>
      </c>
      <c r="H29" s="110" t="s">
        <v>54</v>
      </c>
      <c r="I29" s="75">
        <v>6.97</v>
      </c>
      <c r="J29" s="101"/>
      <c r="K29" s="114">
        <v>43886</v>
      </c>
      <c r="L29" s="71">
        <v>10000000</v>
      </c>
      <c r="M29" s="72"/>
      <c r="N29" s="101"/>
      <c r="O29" s="135">
        <f t="shared" si="5"/>
        <v>10000000</v>
      </c>
      <c r="P29" s="75"/>
      <c r="Q29" s="75"/>
      <c r="R29" s="135">
        <f>171291.76+57097.25+59000.5+59000.5+57097.25+59000.5+57097.25+59000.5</f>
        <v>578585.51</v>
      </c>
      <c r="S29" s="135">
        <f>171291.76+57097.25+59000.5+59000.5+57097.25+59000.5+57097.25+59000.5</f>
        <v>578585.51</v>
      </c>
      <c r="T29" s="136">
        <f t="shared" si="6"/>
        <v>0</v>
      </c>
    </row>
    <row r="30" spans="1:20" s="62" customFormat="1" ht="131.25" customHeight="1">
      <c r="A30" s="105">
        <v>6</v>
      </c>
      <c r="B30" s="106" t="s">
        <v>81</v>
      </c>
      <c r="C30" s="107" t="s">
        <v>58</v>
      </c>
      <c r="D30" s="101">
        <v>10000000</v>
      </c>
      <c r="E30" s="109" t="s">
        <v>36</v>
      </c>
      <c r="F30" s="101">
        <f t="shared" si="4"/>
        <v>10000000</v>
      </c>
      <c r="G30" s="114">
        <v>44660</v>
      </c>
      <c r="H30" s="110" t="s">
        <v>54</v>
      </c>
      <c r="I30" s="75">
        <v>7.2</v>
      </c>
      <c r="J30" s="101"/>
      <c r="K30" s="114">
        <v>43930</v>
      </c>
      <c r="L30" s="71">
        <v>10000000</v>
      </c>
      <c r="M30" s="72"/>
      <c r="N30" s="101"/>
      <c r="O30" s="135">
        <f t="shared" si="5"/>
        <v>10000000</v>
      </c>
      <c r="P30" s="75"/>
      <c r="Q30" s="75"/>
      <c r="R30" s="135">
        <f>33442.62+60983.61+59016.39+60983.61+60983.61+59016.39+60983.61+59016.39+60983.61</f>
        <v>515409.83999999997</v>
      </c>
      <c r="S30" s="135">
        <f>33442.62+60983.61+59016.39+60983.61+60983.61+59016.39+60983.61+59016.39+60983.61</f>
        <v>515409.83999999997</v>
      </c>
      <c r="T30" s="136">
        <f t="shared" si="6"/>
        <v>0</v>
      </c>
    </row>
    <row r="31" spans="1:20" s="62" customFormat="1" ht="131.25" customHeight="1">
      <c r="A31" s="115">
        <v>7</v>
      </c>
      <c r="B31" s="106" t="s">
        <v>85</v>
      </c>
      <c r="C31" s="107" t="s">
        <v>86</v>
      </c>
      <c r="D31" s="101">
        <v>26000000</v>
      </c>
      <c r="E31" s="109" t="s">
        <v>36</v>
      </c>
      <c r="F31" s="101">
        <v>26000000</v>
      </c>
      <c r="G31" s="72" t="s">
        <v>87</v>
      </c>
      <c r="H31" s="110" t="s">
        <v>54</v>
      </c>
      <c r="I31" s="75">
        <v>7.24</v>
      </c>
      <c r="J31" s="101"/>
      <c r="K31" s="114" t="s">
        <v>88</v>
      </c>
      <c r="L31" s="71">
        <v>26000000</v>
      </c>
      <c r="M31" s="72"/>
      <c r="N31" s="101"/>
      <c r="O31" s="135">
        <f t="shared" si="5"/>
        <v>26000000</v>
      </c>
      <c r="P31" s="75"/>
      <c r="Q31" s="75"/>
      <c r="R31" s="135">
        <f>66888.91+159504.31+159504.32+154359.02+159504.31+154359.02+159504.32</f>
        <v>1013624.2100000002</v>
      </c>
      <c r="S31" s="135">
        <f>66888.91+159504.31+159504.32+154359.02+159504.31+154359.02+159504.32</f>
        <v>1013624.2100000002</v>
      </c>
      <c r="T31" s="135">
        <f t="shared" si="6"/>
        <v>0</v>
      </c>
    </row>
    <row r="32" spans="1:20" s="62" customFormat="1" ht="131.25" customHeight="1">
      <c r="A32" s="115"/>
      <c r="B32" s="106" t="s">
        <v>94</v>
      </c>
      <c r="C32" s="107" t="s">
        <v>58</v>
      </c>
      <c r="D32" s="101">
        <v>17900000</v>
      </c>
      <c r="E32" s="109" t="s">
        <v>36</v>
      </c>
      <c r="F32" s="101">
        <v>17900000</v>
      </c>
      <c r="G32" s="72" t="s">
        <v>95</v>
      </c>
      <c r="H32" s="110" t="s">
        <v>54</v>
      </c>
      <c r="I32" s="75">
        <v>6.42</v>
      </c>
      <c r="J32" s="101"/>
      <c r="K32" s="114" t="s">
        <v>96</v>
      </c>
      <c r="L32" s="71">
        <v>17900000</v>
      </c>
      <c r="M32" s="72"/>
      <c r="N32" s="101"/>
      <c r="O32" s="135">
        <f t="shared" si="5"/>
        <v>17900000</v>
      </c>
      <c r="P32" s="75"/>
      <c r="Q32" s="75"/>
      <c r="R32" s="135">
        <v>9421.29</v>
      </c>
      <c r="S32" s="135">
        <v>9421.29</v>
      </c>
      <c r="T32" s="135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133">
        <f>F25+F26+F27+F28+F29+F30+F31+F32</f>
        <v>74500000</v>
      </c>
      <c r="G33" s="74" t="s">
        <v>7</v>
      </c>
      <c r="H33" s="74" t="s">
        <v>7</v>
      </c>
      <c r="I33" s="74" t="s">
        <v>7</v>
      </c>
      <c r="J33" s="133">
        <f>J25+J26+J27+J28+J29+J30+J31+J32</f>
        <v>45300000</v>
      </c>
      <c r="K33" s="74" t="s">
        <v>7</v>
      </c>
      <c r="L33" s="133">
        <f>L25+L26+L27+L28+L29+L30+L31+L32</f>
        <v>63900000</v>
      </c>
      <c r="M33" s="74" t="s">
        <v>7</v>
      </c>
      <c r="N33" s="133">
        <f aca="true" t="shared" si="7" ref="N33:T33">N25+N26+N27+N28+N29+N30+N31+N32</f>
        <v>34700000</v>
      </c>
      <c r="O33" s="133">
        <f t="shared" si="7"/>
        <v>74500000</v>
      </c>
      <c r="P33" s="74">
        <f t="shared" si="7"/>
        <v>0</v>
      </c>
      <c r="Q33" s="74">
        <f t="shared" si="7"/>
        <v>0</v>
      </c>
      <c r="R33" s="133">
        <f t="shared" si="7"/>
        <v>4843207.93</v>
      </c>
      <c r="S33" s="133">
        <f t="shared" si="7"/>
        <v>4843207.93</v>
      </c>
      <c r="T33" s="133">
        <f t="shared" si="7"/>
        <v>0</v>
      </c>
    </row>
    <row r="34" spans="1:20" s="62" customFormat="1" ht="18.75" customHeight="1">
      <c r="A34" s="176" t="s">
        <v>20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</row>
    <row r="35" spans="1:20" s="62" customFormat="1" ht="18.75" customHeight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 t="s">
        <v>7</v>
      </c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31.5" customHeight="1">
      <c r="A37" s="176" t="s">
        <v>27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8"/>
    </row>
    <row r="38" spans="1:20" s="62" customFormat="1" ht="18.75" customHeight="1">
      <c r="A38" s="105"/>
      <c r="B38" s="113"/>
      <c r="C38" s="116"/>
      <c r="D38" s="74"/>
      <c r="E38" s="117"/>
      <c r="F38" s="117"/>
      <c r="G38" s="118"/>
      <c r="H38" s="119"/>
      <c r="I38" s="73"/>
      <c r="J38" s="120"/>
      <c r="K38" s="73"/>
      <c r="L38" s="73"/>
      <c r="M38" s="73"/>
      <c r="N38" s="121"/>
      <c r="O38" s="73"/>
      <c r="P38" s="73"/>
      <c r="Q38" s="73"/>
      <c r="R38" s="73"/>
      <c r="S38" s="73"/>
      <c r="T38" s="111"/>
    </row>
    <row r="39" spans="1:20" s="62" customFormat="1" ht="18.75" customHeight="1">
      <c r="A39" s="112" t="s">
        <v>1</v>
      </c>
      <c r="B39" s="113"/>
      <c r="C39" s="74" t="s">
        <v>7</v>
      </c>
      <c r="D39" s="74" t="s">
        <v>7</v>
      </c>
      <c r="E39" s="74"/>
      <c r="F39" s="74"/>
      <c r="G39" s="74" t="s">
        <v>7</v>
      </c>
      <c r="H39" s="74" t="s">
        <v>7</v>
      </c>
      <c r="I39" s="74" t="s">
        <v>7</v>
      </c>
      <c r="J39" s="120"/>
      <c r="K39" s="74" t="s">
        <v>7</v>
      </c>
      <c r="L39" s="73"/>
      <c r="M39" s="74" t="s">
        <v>7</v>
      </c>
      <c r="N39" s="121"/>
      <c r="O39" s="73"/>
      <c r="P39" s="73"/>
      <c r="Q39" s="73"/>
      <c r="R39" s="73"/>
      <c r="S39" s="73"/>
      <c r="T39" s="111"/>
    </row>
    <row r="40" spans="1:20" s="62" customFormat="1" ht="18.75" customHeight="1">
      <c r="A40" s="179" t="s">
        <v>31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1"/>
    </row>
    <row r="41" spans="1:20" s="123" customFormat="1" ht="21.75" customHeight="1">
      <c r="A41" s="122"/>
      <c r="B41" s="122"/>
      <c r="C41" s="74" t="s">
        <v>7</v>
      </c>
      <c r="D41" s="74" t="s">
        <v>7</v>
      </c>
      <c r="E41" s="74" t="s">
        <v>7</v>
      </c>
      <c r="F41" s="133">
        <f>F23+F33</f>
        <v>89666000</v>
      </c>
      <c r="G41" s="133" t="s">
        <v>7</v>
      </c>
      <c r="H41" s="133" t="s">
        <v>7</v>
      </c>
      <c r="I41" s="133" t="s">
        <v>7</v>
      </c>
      <c r="J41" s="133">
        <f>J23+J33</f>
        <v>87284000</v>
      </c>
      <c r="K41" s="133" t="s">
        <v>7</v>
      </c>
      <c r="L41" s="133">
        <f>L23+L33</f>
        <v>63900000</v>
      </c>
      <c r="M41" s="133" t="s">
        <v>7</v>
      </c>
      <c r="N41" s="133">
        <f>N23+N33</f>
        <v>61518000</v>
      </c>
      <c r="O41" s="133">
        <f aca="true" t="shared" si="8" ref="O41:T41">O23+O33</f>
        <v>89666000</v>
      </c>
      <c r="P41" s="133">
        <f t="shared" si="8"/>
        <v>0</v>
      </c>
      <c r="Q41" s="133">
        <f t="shared" si="8"/>
        <v>0</v>
      </c>
      <c r="R41" s="133">
        <f t="shared" si="8"/>
        <v>4959521.14</v>
      </c>
      <c r="S41" s="133">
        <f t="shared" si="8"/>
        <v>4959521.14</v>
      </c>
      <c r="T41" s="133">
        <f t="shared" si="8"/>
        <v>0</v>
      </c>
    </row>
    <row r="42" spans="1:20" ht="10.5" customHeight="1">
      <c r="A42" s="124"/>
      <c r="B42" s="125"/>
      <c r="C42" s="125"/>
      <c r="D42" s="126"/>
      <c r="E42" s="126"/>
      <c r="F42" s="126"/>
      <c r="G42" s="127"/>
      <c r="H42" s="127"/>
      <c r="I42" s="70"/>
      <c r="J42" s="70"/>
      <c r="K42" s="67"/>
      <c r="L42" s="67"/>
      <c r="M42" s="67"/>
      <c r="N42" s="67"/>
      <c r="O42" s="70"/>
      <c r="P42" s="70"/>
      <c r="Q42" s="70"/>
      <c r="R42" s="70"/>
      <c r="S42" s="70"/>
      <c r="T42" s="70"/>
    </row>
    <row r="43" spans="1:11" ht="22.5" customHeight="1">
      <c r="A43" s="128" t="s">
        <v>84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24.75" customHeight="1">
      <c r="A45" s="128" t="s">
        <v>70</v>
      </c>
      <c r="B45" s="129"/>
      <c r="C45" s="129"/>
      <c r="D45" s="130"/>
      <c r="E45" s="130"/>
      <c r="F45" s="130"/>
      <c r="G45" s="131"/>
      <c r="H45" s="131"/>
      <c r="J45" s="128"/>
      <c r="K45" s="128"/>
    </row>
    <row r="47" spans="1:11" ht="24" customHeight="1">
      <c r="A47" s="128" t="s">
        <v>71</v>
      </c>
      <c r="B47" s="129"/>
      <c r="C47" s="129"/>
      <c r="D47" s="130"/>
      <c r="E47" s="130"/>
      <c r="F47" s="130"/>
      <c r="G47" s="168" t="s">
        <v>73</v>
      </c>
      <c r="H47" s="169"/>
      <c r="J47" s="128"/>
      <c r="K47" s="128"/>
    </row>
    <row r="50" ht="12.75">
      <c r="A50" s="61" t="s">
        <v>21</v>
      </c>
    </row>
    <row r="51" spans="1:11" ht="12.75">
      <c r="A51" s="128"/>
      <c r="B51" s="129"/>
      <c r="C51" s="129"/>
      <c r="D51" s="130"/>
      <c r="E51" s="130"/>
      <c r="F51" s="130"/>
      <c r="G51" s="131"/>
      <c r="H51" s="131"/>
      <c r="J51" s="128"/>
      <c r="K51" s="128"/>
    </row>
    <row r="62" ht="16.5" customHeight="1"/>
    <row r="63" ht="30" customHeight="1">
      <c r="B63" s="132"/>
    </row>
  </sheetData>
  <sheetProtection/>
  <mergeCells count="29">
    <mergeCell ref="G47:H47"/>
    <mergeCell ref="A13:T13"/>
    <mergeCell ref="A16:T16"/>
    <mergeCell ref="A24:T24"/>
    <mergeCell ref="A34:T34"/>
    <mergeCell ref="A37:T37"/>
    <mergeCell ref="A40:T40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10">
      <pane xSplit="21165" ySplit="2355" topLeftCell="O32" activePane="bottomLeft" state="split"/>
      <selection pane="topLeft" activeCell="L10" sqref="L10:L11"/>
      <selection pane="topRight" activeCell="R10" sqref="R10:R11"/>
      <selection pane="bottomLeft" activeCell="F36" sqref="F36"/>
      <selection pane="bottomRight" activeCell="O7" sqref="O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98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100</v>
      </c>
      <c r="P10" s="167"/>
      <c r="Q10" s="163" t="s">
        <v>15</v>
      </c>
      <c r="R10" s="163" t="s">
        <v>16</v>
      </c>
      <c r="S10" s="163" t="s">
        <v>8</v>
      </c>
      <c r="T10" s="163" t="s">
        <v>101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10666000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/>
      <c r="O17" s="135">
        <f>J17+L17-N17</f>
        <v>10666000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2188000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</f>
        <v>312000</v>
      </c>
      <c r="O18" s="135">
        <f>J18+L18-N18</f>
        <v>2188000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2000000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/>
      <c r="O19" s="135">
        <f>J19+L19-N19</f>
        <v>2000000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14854000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133" t="s">
        <v>7</v>
      </c>
      <c r="L20" s="133">
        <f>SUM(L17:L19)</f>
        <v>0</v>
      </c>
      <c r="M20" s="133" t="s">
        <v>7</v>
      </c>
      <c r="N20" s="133">
        <f>SUM(N17:N19)</f>
        <v>312000</v>
      </c>
      <c r="O20" s="133">
        <f aca="true" t="shared" si="0" ref="O20:T20">SUM(O17:O19)</f>
        <v>14854000</v>
      </c>
      <c r="P20" s="133">
        <f t="shared" si="0"/>
        <v>0</v>
      </c>
      <c r="Q20" s="133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0" s="62" customFormat="1" ht="131.25" customHeight="1">
      <c r="A22" s="105">
        <v>3</v>
      </c>
      <c r="B22" s="106" t="s">
        <v>67</v>
      </c>
      <c r="C22" s="107" t="s">
        <v>68</v>
      </c>
      <c r="D22" s="101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8"/>
      <c r="O22" s="135">
        <f aca="true" t="shared" si="1" ref="O22:O27">J22+L22-N22</f>
        <v>5000000</v>
      </c>
      <c r="P22" s="75"/>
      <c r="Q22" s="75"/>
      <c r="R22" s="135">
        <f>-1996.62+39705.48</f>
        <v>37708.86</v>
      </c>
      <c r="S22" s="135">
        <f>39705.48</f>
        <v>39705.48</v>
      </c>
      <c r="T22" s="136">
        <f>Q22+R22-S22</f>
        <v>-1996.6200000000026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1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8"/>
      <c r="O23" s="135">
        <f t="shared" si="1"/>
        <v>5600000</v>
      </c>
      <c r="P23" s="75"/>
      <c r="Q23" s="75"/>
      <c r="R23" s="135"/>
      <c r="S23" s="135"/>
      <c r="T23" s="136">
        <f>Q23+R23-S23</f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1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8"/>
      <c r="O24" s="135">
        <f t="shared" si="1"/>
        <v>10000000</v>
      </c>
      <c r="P24" s="75"/>
      <c r="Q24" s="75"/>
      <c r="R24" s="135">
        <f>59162.14</f>
        <v>59162.14</v>
      </c>
      <c r="S24" s="135">
        <f>59162.14</f>
        <v>59162.14</v>
      </c>
      <c r="T24" s="136">
        <f>Q24+R24-S24</f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1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8"/>
      <c r="O25" s="135">
        <f t="shared" si="1"/>
        <v>10000000</v>
      </c>
      <c r="P25" s="75"/>
      <c r="Q25" s="75"/>
      <c r="R25" s="135"/>
      <c r="S25" s="135"/>
      <c r="T25" s="136">
        <f>Q25+R25-S25</f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1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8"/>
      <c r="O26" s="135">
        <f t="shared" si="1"/>
        <v>26000000</v>
      </c>
      <c r="P26" s="75"/>
      <c r="Q26" s="75"/>
      <c r="R26" s="135">
        <f>159941.31</f>
        <v>159941.31</v>
      </c>
      <c r="S26" s="135">
        <f>159941.31</f>
        <v>159941.31</v>
      </c>
      <c r="T26" s="135">
        <f>Q26+R26-S26</f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1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8"/>
      <c r="O27" s="135">
        <f t="shared" si="1"/>
        <v>17900000</v>
      </c>
      <c r="P27" s="75"/>
      <c r="Q27" s="75"/>
      <c r="R27" s="135">
        <f>97620.07</f>
        <v>97620.07</v>
      </c>
      <c r="S27" s="135">
        <f>97620.07</f>
        <v>97620.07</v>
      </c>
      <c r="T27" s="135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133">
        <f aca="true" t="shared" si="2" ref="O28:T28">O22+O23+O24+O25+O26+O27</f>
        <v>74500000</v>
      </c>
      <c r="P28" s="74">
        <f t="shared" si="2"/>
        <v>0</v>
      </c>
      <c r="Q28" s="74">
        <f t="shared" si="2"/>
        <v>0</v>
      </c>
      <c r="R28" s="133">
        <f t="shared" si="2"/>
        <v>354432.38</v>
      </c>
      <c r="S28" s="133">
        <f t="shared" si="2"/>
        <v>356429</v>
      </c>
      <c r="T28" s="133">
        <f t="shared" si="2"/>
        <v>-1996.6200000000026</v>
      </c>
    </row>
    <row r="29" spans="1:20" s="62" customFormat="1" ht="18.75" customHeight="1">
      <c r="A29" s="176" t="s">
        <v>20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8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76" t="s">
        <v>27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8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9" t="s">
        <v>31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89354000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3" ref="N36:T36">N20+N28</f>
        <v>312000</v>
      </c>
      <c r="O36" s="133">
        <f t="shared" si="3"/>
        <v>89354000</v>
      </c>
      <c r="P36" s="133">
        <f t="shared" si="3"/>
        <v>0</v>
      </c>
      <c r="Q36" s="133">
        <f t="shared" si="3"/>
        <v>0</v>
      </c>
      <c r="R36" s="133">
        <f t="shared" si="3"/>
        <v>354432.38</v>
      </c>
      <c r="S36" s="133">
        <f t="shared" si="3"/>
        <v>356429</v>
      </c>
      <c r="T36" s="133">
        <f t="shared" si="3"/>
        <v>-1996.6200000000026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68" t="s">
        <v>73</v>
      </c>
      <c r="H42" s="169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0">
      <pane ySplit="2355" topLeftCell="A28" activePane="bottomLeft" state="split"/>
      <selection pane="topLeft" activeCell="R28" sqref="R28"/>
      <selection pane="bottomLeft" activeCell="H22" sqref="H22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102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103</v>
      </c>
      <c r="P10" s="167"/>
      <c r="Q10" s="163" t="s">
        <v>15</v>
      </c>
      <c r="R10" s="163" t="s">
        <v>16</v>
      </c>
      <c r="S10" s="163" t="s">
        <v>8</v>
      </c>
      <c r="T10" s="163" t="s">
        <v>104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9696000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</f>
        <v>970000</v>
      </c>
      <c r="O17" s="135">
        <f>J17+L17-N17</f>
        <v>9696000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1876000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</f>
        <v>624000</v>
      </c>
      <c r="O18" s="135">
        <f>J18+L18-N18</f>
        <v>1876000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1500000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</f>
        <v>500000</v>
      </c>
      <c r="O19" s="135">
        <f>J19+L19-N19</f>
        <v>1500000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13072000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2094000</v>
      </c>
      <c r="O20" s="133">
        <f aca="true" t="shared" si="0" ref="O20:T20">SUM(O17:O19)</f>
        <v>13072000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05">
        <v>3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1"/>
      <c r="O22" s="135">
        <f aca="true" t="shared" si="1" ref="O22:O27">J22+L22-N22</f>
        <v>5000000</v>
      </c>
      <c r="P22" s="75"/>
      <c r="Q22" s="75"/>
      <c r="R22" s="135">
        <f>-1996.62+39705.48+35863.01</f>
        <v>73571.87</v>
      </c>
      <c r="S22" s="135">
        <f>39705.48+35863.01-1996.62</f>
        <v>73571.87000000001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1"/>
      <c r="O23" s="135">
        <f t="shared" si="1"/>
        <v>5600000</v>
      </c>
      <c r="P23" s="75"/>
      <c r="Q23" s="75"/>
      <c r="R23" s="135">
        <v>44707.95</v>
      </c>
      <c r="S23" s="135">
        <f>44707.95</f>
        <v>44707.95</v>
      </c>
      <c r="T23" s="136">
        <f t="shared" si="2"/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</f>
        <v>112598.91</v>
      </c>
      <c r="S24" s="135">
        <f>59162.14+53436.77</f>
        <v>112598.91</v>
      </c>
      <c r="T24" s="136">
        <f t="shared" si="2"/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</f>
        <v>61150.68</v>
      </c>
      <c r="S25" s="135">
        <f>61150.68</f>
        <v>61150.68</v>
      </c>
      <c r="T25" s="136">
        <f t="shared" si="2"/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</f>
        <v>304404.44</v>
      </c>
      <c r="S26" s="135">
        <f>159941.31+144463.13</f>
        <v>304404.44</v>
      </c>
      <c r="T26" s="135">
        <f t="shared" si="2"/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</f>
        <v>185793.03000000003</v>
      </c>
      <c r="S27" s="135">
        <f>97620.07+88172.96</f>
        <v>185793.03000000003</v>
      </c>
      <c r="T27" s="135">
        <f t="shared" si="2"/>
        <v>0</v>
      </c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133" t="s">
        <v>7</v>
      </c>
      <c r="L28" s="133">
        <f>L22+L23+L24+L25+L26+L27</f>
        <v>0</v>
      </c>
      <c r="M28" s="133" t="s">
        <v>7</v>
      </c>
      <c r="N28" s="133">
        <f>N22+N23+N24+N25+N26+N27</f>
        <v>0</v>
      </c>
      <c r="O28" s="133">
        <f aca="true" t="shared" si="3" ref="O28:T28">O22+O23+O24+O25+O26+O27</f>
        <v>74500000</v>
      </c>
      <c r="P28" s="133">
        <f t="shared" si="3"/>
        <v>0</v>
      </c>
      <c r="Q28" s="133">
        <f t="shared" si="3"/>
        <v>0</v>
      </c>
      <c r="R28" s="133">
        <f t="shared" si="3"/>
        <v>782226.88</v>
      </c>
      <c r="S28" s="133">
        <f t="shared" si="3"/>
        <v>782226.8800000001</v>
      </c>
      <c r="T28" s="133">
        <f t="shared" si="3"/>
        <v>0</v>
      </c>
    </row>
    <row r="29" spans="1:20" s="62" customFormat="1" ht="18.75" customHeight="1">
      <c r="A29" s="176" t="s">
        <v>20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8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76" t="s">
        <v>27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8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9" t="s">
        <v>31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87572000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4" ref="N36:T36">N20+N28</f>
        <v>2094000</v>
      </c>
      <c r="O36" s="133">
        <f t="shared" si="4"/>
        <v>87572000</v>
      </c>
      <c r="P36" s="133">
        <f t="shared" si="4"/>
        <v>0</v>
      </c>
      <c r="Q36" s="133">
        <f t="shared" si="4"/>
        <v>0</v>
      </c>
      <c r="R36" s="133">
        <f t="shared" si="4"/>
        <v>782226.88</v>
      </c>
      <c r="S36" s="133">
        <f t="shared" si="4"/>
        <v>782226.8800000001</v>
      </c>
      <c r="T36" s="133">
        <f t="shared" si="4"/>
        <v>0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68" t="s">
        <v>73</v>
      </c>
      <c r="H42" s="169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F10">
      <pane ySplit="2355" topLeftCell="A29" activePane="bottomLeft" state="split"/>
      <selection pane="topLeft" activeCell="A10" sqref="A10"/>
      <selection pane="bottomLeft" activeCell="S37" sqref="S3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106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107</v>
      </c>
      <c r="P10" s="167"/>
      <c r="Q10" s="163" t="s">
        <v>15</v>
      </c>
      <c r="R10" s="163" t="s">
        <v>16</v>
      </c>
      <c r="S10" s="163" t="s">
        <v>8</v>
      </c>
      <c r="T10" s="163" t="s">
        <v>108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8726000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</f>
        <v>1940000</v>
      </c>
      <c r="O17" s="135">
        <f>J17+L17-N17</f>
        <v>8726000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1">
        <f>O18</f>
        <v>1564000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</f>
        <v>936000</v>
      </c>
      <c r="O18" s="135">
        <f>J18+L18-N18</f>
        <v>1564000</v>
      </c>
      <c r="P18" s="73"/>
      <c r="Q18" s="73"/>
      <c r="R18" s="71"/>
      <c r="S18" s="71"/>
      <c r="T18" s="104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1">
        <f>O19</f>
        <v>1000000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</f>
        <v>1000000</v>
      </c>
      <c r="O19" s="135">
        <f>J19+L19-N19</f>
        <v>1000000</v>
      </c>
      <c r="P19" s="73"/>
      <c r="Q19" s="73"/>
      <c r="R19" s="71"/>
      <c r="S19" s="71"/>
      <c r="T19" s="104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11290000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3876000</v>
      </c>
      <c r="O20" s="133">
        <f aca="true" t="shared" si="0" ref="O20:T20">SUM(O17:O19)</f>
        <v>11290000</v>
      </c>
      <c r="P20" s="74">
        <f t="shared" si="0"/>
        <v>0</v>
      </c>
      <c r="Q20" s="74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1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1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1"/>
      <c r="M24" s="72"/>
      <c r="N24" s="101"/>
      <c r="O24" s="135">
        <f t="shared" si="1"/>
        <v>10000000</v>
      </c>
      <c r="P24" s="75"/>
      <c r="Q24" s="75"/>
      <c r="R24" s="135">
        <f>59162.14+53436.77+59162.14</f>
        <v>171761.05</v>
      </c>
      <c r="S24" s="135">
        <f>59162.14+53436.77+59162.14</f>
        <v>171761.05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1"/>
      <c r="M25" s="72"/>
      <c r="N25" s="101"/>
      <c r="O25" s="135">
        <f t="shared" si="1"/>
        <v>10000000</v>
      </c>
      <c r="P25" s="75"/>
      <c r="Q25" s="75"/>
      <c r="R25" s="135">
        <f>61150.68+55232.88</f>
        <v>116383.56</v>
      </c>
      <c r="S25" s="135">
        <f>61150.68+55232.88</f>
        <v>116383.56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1"/>
      <c r="M26" s="72"/>
      <c r="N26" s="101"/>
      <c r="O26" s="135">
        <f t="shared" si="1"/>
        <v>26000000</v>
      </c>
      <c r="P26" s="75"/>
      <c r="Q26" s="75"/>
      <c r="R26" s="135">
        <f>159941.31+144463.13+159941.31</f>
        <v>464345.75</v>
      </c>
      <c r="S26" s="135">
        <f>159941.31+144463.13+159941.31</f>
        <v>464345.75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1"/>
      <c r="M27" s="72"/>
      <c r="N27" s="101"/>
      <c r="O27" s="135">
        <f t="shared" si="1"/>
        <v>17900000</v>
      </c>
      <c r="P27" s="75"/>
      <c r="Q27" s="75"/>
      <c r="R27" s="135">
        <f>97620.07+88172.96+97620.07</f>
        <v>283413.10000000003</v>
      </c>
      <c r="S27" s="135">
        <f>97620.07+88172.96+97620.07</f>
        <v>283413.10000000003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v>69120</v>
      </c>
      <c r="S28" s="135">
        <v>69120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74" t="s">
        <v>7</v>
      </c>
      <c r="L29" s="133">
        <f>L22+L23+L24+L25+L26+L27+L28</f>
        <v>20000000</v>
      </c>
      <c r="M29" s="74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74">
        <f t="shared" si="3"/>
        <v>0</v>
      </c>
      <c r="Q29" s="74">
        <f t="shared" si="3"/>
        <v>0</v>
      </c>
      <c r="R29" s="133">
        <f t="shared" si="3"/>
        <v>1290914.78</v>
      </c>
      <c r="S29" s="133">
        <f t="shared" si="3"/>
        <v>1290914.78</v>
      </c>
      <c r="T29" s="133">
        <f t="shared" si="3"/>
        <v>0</v>
      </c>
    </row>
    <row r="30" spans="1:20" s="62" customFormat="1" ht="18.75" customHeight="1">
      <c r="A30" s="176" t="s">
        <v>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6" t="s">
        <v>27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9" t="s">
        <v>31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95190000</v>
      </c>
      <c r="G37" s="133" t="s">
        <v>7</v>
      </c>
      <c r="H37" s="133" t="s">
        <v>7</v>
      </c>
      <c r="I37" s="133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14476000</v>
      </c>
      <c r="O37" s="133">
        <f t="shared" si="4"/>
        <v>95190000</v>
      </c>
      <c r="P37" s="133">
        <f t="shared" si="4"/>
        <v>0</v>
      </c>
      <c r="Q37" s="133">
        <f t="shared" si="4"/>
        <v>0</v>
      </c>
      <c r="R37" s="133">
        <f t="shared" si="4"/>
        <v>1290914.78</v>
      </c>
      <c r="S37" s="133">
        <f t="shared" si="4"/>
        <v>1290914.78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8" t="s">
        <v>73</v>
      </c>
      <c r="H43" s="169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28">
      <selection activeCell="F18" sqref="F18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116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114</v>
      </c>
      <c r="P10" s="167"/>
      <c r="Q10" s="163" t="s">
        <v>15</v>
      </c>
      <c r="R10" s="163" t="s">
        <v>16</v>
      </c>
      <c r="S10" s="163" t="s">
        <v>8</v>
      </c>
      <c r="T10" s="163" t="s">
        <v>115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7756000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</f>
        <v>2910000</v>
      </c>
      <c r="O17" s="135">
        <f>J17+L17-N17</f>
        <v>7756000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1252000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</f>
        <v>1248000</v>
      </c>
      <c r="O18" s="135">
        <f>J18+L18-N18</f>
        <v>1252000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</f>
        <v>1500000</v>
      </c>
      <c r="O19" s="135">
        <f>J19+L19-N19</f>
        <v>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9508000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5658000</v>
      </c>
      <c r="O20" s="133">
        <f aca="true" t="shared" si="0" ref="O20:T20">SUM(O17:O19)</f>
        <v>9508000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</f>
        <v>229014.72999999998</v>
      </c>
      <c r="S24" s="135">
        <f>59162.14+53436.77+59162.14+57253.68</f>
        <v>229014.72999999998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</f>
        <v>619127.67</v>
      </c>
      <c r="S26" s="135">
        <f>159941.31+144463.13+159941.31+154781.92</f>
        <v>619127.67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</f>
        <v>377884.13</v>
      </c>
      <c r="S27" s="135">
        <f>97620.07+88172.96+97620.07+94471.03</f>
        <v>377884.13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</f>
        <v>174325.47999999998</v>
      </c>
      <c r="S28" s="135">
        <f>69120+105205.48</f>
        <v>174325.47999999998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1822955.6600000001</v>
      </c>
      <c r="S29" s="133">
        <f t="shared" si="3"/>
        <v>1822955.6600000001</v>
      </c>
      <c r="T29" s="133">
        <f t="shared" si="3"/>
        <v>0</v>
      </c>
    </row>
    <row r="30" spans="1:20" s="62" customFormat="1" ht="18.75" customHeight="1">
      <c r="A30" s="176" t="s">
        <v>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6" t="s">
        <v>27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9" t="s">
        <v>31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93408000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16258000</v>
      </c>
      <c r="O37" s="133">
        <f t="shared" si="4"/>
        <v>93408000</v>
      </c>
      <c r="P37" s="133">
        <f t="shared" si="4"/>
        <v>0</v>
      </c>
      <c r="Q37" s="133">
        <f t="shared" si="4"/>
        <v>0</v>
      </c>
      <c r="R37" s="133">
        <f t="shared" si="4"/>
        <v>1822955.6600000001</v>
      </c>
      <c r="S37" s="133">
        <f t="shared" si="4"/>
        <v>1822955.6600000001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8" t="s">
        <v>73</v>
      </c>
      <c r="H43" s="169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4">
      <pane ySplit="3270" topLeftCell="A34" activePane="bottomLeft" state="split"/>
      <selection pane="topLeft" activeCell="R37" sqref="R37"/>
      <selection pane="bottomLeft" activeCell="A39" sqref="A39:J39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117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118</v>
      </c>
      <c r="P10" s="167"/>
      <c r="Q10" s="163" t="s">
        <v>15</v>
      </c>
      <c r="R10" s="163" t="s">
        <v>16</v>
      </c>
      <c r="S10" s="163" t="s">
        <v>8</v>
      </c>
      <c r="T10" s="163" t="s">
        <v>119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6786000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</f>
        <v>3880000</v>
      </c>
      <c r="O17" s="135">
        <f>J17+L17-N17</f>
        <v>6786000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940000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</f>
        <v>1560000</v>
      </c>
      <c r="O18" s="135">
        <f>J18+L18-N18</f>
        <v>940000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7726000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7440000</v>
      </c>
      <c r="O20" s="133">
        <f aca="true" t="shared" si="0" ref="O20:T20">SUM(O17:O19)</f>
        <v>7726000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</f>
        <v>288176.87</v>
      </c>
      <c r="S24" s="135">
        <f>59162.14+53436.77+59162.14+57253.68+59162.14</f>
        <v>288176.87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</f>
        <v>779068.98</v>
      </c>
      <c r="S26" s="135">
        <f>159941.31+144463.13+159941.31+154781.92+159941.31</f>
        <v>779068.98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</f>
        <v>475504.2</v>
      </c>
      <c r="S27" s="135">
        <f>97620.07+88172.96+97620.07+94471.03+97620.07</f>
        <v>475504.2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</f>
        <v>283037.81</v>
      </c>
      <c r="S28" s="135">
        <f>69120+105205.48+108712.33</f>
        <v>283037.81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2248391.51</v>
      </c>
      <c r="S29" s="133">
        <f t="shared" si="3"/>
        <v>2248391.51</v>
      </c>
      <c r="T29" s="133">
        <f t="shared" si="3"/>
        <v>0</v>
      </c>
    </row>
    <row r="30" spans="1:20" s="62" customFormat="1" ht="18.75" customHeight="1">
      <c r="A30" s="176" t="s">
        <v>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6" t="s">
        <v>27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9" t="s">
        <v>31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91626000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18040000</v>
      </c>
      <c r="O37" s="133">
        <f t="shared" si="4"/>
        <v>91626000</v>
      </c>
      <c r="P37" s="133">
        <f t="shared" si="4"/>
        <v>0</v>
      </c>
      <c r="Q37" s="133">
        <f t="shared" si="4"/>
        <v>0</v>
      </c>
      <c r="R37" s="133">
        <f t="shared" si="4"/>
        <v>2248846.3</v>
      </c>
      <c r="S37" s="133">
        <f t="shared" si="4"/>
        <v>2248846.3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8" t="s">
        <v>73</v>
      </c>
      <c r="H43" s="169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rowBreaks count="1" manualBreakCount="1">
    <brk id="23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7">
      <pane ySplit="3270" topLeftCell="A37" activePane="bottomLeft" state="split"/>
      <selection pane="topLeft" activeCell="P15" sqref="P15"/>
      <selection pane="bottomLeft" activeCell="A40" sqref="A40:J40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120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124</v>
      </c>
      <c r="P10" s="167"/>
      <c r="Q10" s="163" t="s">
        <v>15</v>
      </c>
      <c r="R10" s="163" t="s">
        <v>16</v>
      </c>
      <c r="S10" s="163" t="s">
        <v>8</v>
      </c>
      <c r="T10" s="163" t="s">
        <v>123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5816000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</f>
        <v>4850000</v>
      </c>
      <c r="O17" s="135">
        <f>J17+L17-N17</f>
        <v>5816000</v>
      </c>
      <c r="P17" s="69"/>
      <c r="Q17" s="69"/>
      <c r="R17" s="71"/>
      <c r="S17" s="71"/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628000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</f>
        <v>1872000</v>
      </c>
      <c r="O18" s="135">
        <f>J18+L18-N18</f>
        <v>628000</v>
      </c>
      <c r="P18" s="73"/>
      <c r="Q18" s="73"/>
      <c r="R18" s="73"/>
      <c r="S18" s="73"/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6444000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8722000</v>
      </c>
      <c r="O20" s="133">
        <f aca="true" t="shared" si="0" ref="O20:T20">SUM(O17:O19)</f>
        <v>6444000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81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</f>
        <v>345430.55</v>
      </c>
      <c r="S24" s="135">
        <f>59162.14+53436.77+59162.14+57253.68+59162.14+57253.68</f>
        <v>345430.55</v>
      </c>
      <c r="T24" s="136">
        <f t="shared" si="2"/>
        <v>0</v>
      </c>
    </row>
    <row r="25" spans="1:20" s="62" customFormat="1" ht="7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</f>
        <v>297863.01</v>
      </c>
      <c r="S25" s="135">
        <f>61150.68+55232.88+61150.69+59178.08+61150.68</f>
        <v>297863.01</v>
      </c>
      <c r="T25" s="136">
        <f t="shared" si="2"/>
        <v>0</v>
      </c>
    </row>
    <row r="26" spans="1:20" s="62" customFormat="1" ht="7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</f>
        <v>933850.9</v>
      </c>
      <c r="S26" s="135">
        <f>159941.31+144463.13+159941.31+154781.92+159941.31+154781.92</f>
        <v>933850.9</v>
      </c>
      <c r="T26" s="135">
        <f t="shared" si="2"/>
        <v>0</v>
      </c>
    </row>
    <row r="27" spans="1:20" s="62" customFormat="1" ht="67.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</f>
        <v>569975.23</v>
      </c>
      <c r="S27" s="135">
        <f>97620.07+88172.96+97620.07+94471.03+97620.07+94471.03</f>
        <v>569975.23</v>
      </c>
      <c r="T27" s="135">
        <f t="shared" si="2"/>
        <v>0</v>
      </c>
    </row>
    <row r="28" spans="1:20" s="62" customFormat="1" ht="76.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</f>
        <v>388243.29</v>
      </c>
      <c r="S28" s="135">
        <f>69120+105205.48+108712.33+105205.48</f>
        <v>388243.29</v>
      </c>
      <c r="T28" s="135"/>
    </row>
    <row r="29" spans="1:20" s="62" customFormat="1" ht="72" customHeight="1">
      <c r="A29" s="139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/>
      <c r="S29" s="135"/>
      <c r="T29" s="135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2721254.3</v>
      </c>
      <c r="S30" s="133">
        <f t="shared" si="3"/>
        <v>2721254.3</v>
      </c>
      <c r="T30" s="133">
        <f t="shared" si="3"/>
        <v>0</v>
      </c>
    </row>
    <row r="31" spans="1:20" s="62" customFormat="1" ht="18.75" customHeight="1">
      <c r="A31" s="176" t="s">
        <v>20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76" t="s">
        <v>27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79" t="s">
        <v>31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1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109475000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19322000</v>
      </c>
      <c r="O38" s="133">
        <f t="shared" si="4"/>
        <v>109475000</v>
      </c>
      <c r="P38" s="133">
        <f t="shared" si="4"/>
        <v>0</v>
      </c>
      <c r="Q38" s="133">
        <f t="shared" si="4"/>
        <v>0</v>
      </c>
      <c r="R38" s="133">
        <f t="shared" si="4"/>
        <v>2721709.09</v>
      </c>
      <c r="S38" s="133">
        <f t="shared" si="4"/>
        <v>2721709.09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84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68" t="s">
        <v>73</v>
      </c>
      <c r="H44" s="169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4:H44"/>
    <mergeCell ref="A13:T13"/>
    <mergeCell ref="A16:T16"/>
    <mergeCell ref="A21:T21"/>
    <mergeCell ref="A31:T31"/>
    <mergeCell ref="A34:T34"/>
    <mergeCell ref="A37:T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3">
      <pane ySplit="3270" topLeftCell="A34" activePane="bottomLeft" state="split"/>
      <selection pane="topLeft" activeCell="L10" sqref="L10:L11"/>
      <selection pane="bottomLeft" activeCell="A40" sqref="A40:J40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125</v>
      </c>
      <c r="P10" s="167"/>
      <c r="Q10" s="163" t="s">
        <v>15</v>
      </c>
      <c r="R10" s="163" t="s">
        <v>16</v>
      </c>
      <c r="S10" s="163" t="s">
        <v>8</v>
      </c>
      <c r="T10" s="163" t="s">
        <v>126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4846000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970000+970000+970000+970000+970000+970000</f>
        <v>5820000</v>
      </c>
      <c r="O17" s="135">
        <f>J17+L17-N17</f>
        <v>4846000</v>
      </c>
      <c r="P17" s="69"/>
      <c r="Q17" s="69"/>
      <c r="R17" s="71">
        <v>4212.86</v>
      </c>
      <c r="S17" s="71">
        <v>4212.86</v>
      </c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316000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312000+312000+312000+312000+312000+312000+312000</f>
        <v>2184000</v>
      </c>
      <c r="O18" s="135">
        <f>J18+L18-N18</f>
        <v>316000</v>
      </c>
      <c r="P18" s="73"/>
      <c r="Q18" s="73"/>
      <c r="R18" s="73">
        <v>11329.23</v>
      </c>
      <c r="S18" s="73">
        <v>11329.23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5162000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10004000</v>
      </c>
      <c r="O20" s="133">
        <f aca="true" t="shared" si="0" ref="O20:T20">SUM(O17:O19)</f>
        <v>5162000</v>
      </c>
      <c r="P20" s="74">
        <f t="shared" si="0"/>
        <v>0</v>
      </c>
      <c r="Q20" s="74">
        <f t="shared" si="0"/>
        <v>0</v>
      </c>
      <c r="R20" s="74">
        <f t="shared" si="0"/>
        <v>15996.880000000001</v>
      </c>
      <c r="S20" s="74">
        <f t="shared" si="0"/>
        <v>15996.880000000001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81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59162.14+53436.77+59162.14+57253.68+59162.14+57253.68+59162.14</f>
        <v>404592.69</v>
      </c>
      <c r="S24" s="135">
        <f>59162.14+53436.77+59162.14+57253.68+59162.14+57253.68+59162.14</f>
        <v>404592.69</v>
      </c>
      <c r="T24" s="136">
        <f t="shared" si="2"/>
        <v>0</v>
      </c>
    </row>
    <row r="25" spans="1:20" s="62" customFormat="1" ht="7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61150.68+55232.88+61150.69+59178.08+61150.68+59178.09</f>
        <v>357041.1</v>
      </c>
      <c r="S25" s="135">
        <f>61150.68+55232.88+61150.69+59178.08+61150.68+59178.09</f>
        <v>357041.1</v>
      </c>
      <c r="T25" s="136">
        <f t="shared" si="2"/>
        <v>0</v>
      </c>
    </row>
    <row r="26" spans="1:20" s="62" customFormat="1" ht="7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159941.31+144463.13+159941.31+154781.92+159941.31+154781.92+159941.32</f>
        <v>1093792.22</v>
      </c>
      <c r="S26" s="135">
        <f>159941.31+144463.13+159941.31+154781.92+159941.31+154781.92+159941.32</f>
        <v>1093792.22</v>
      </c>
      <c r="T26" s="135">
        <f t="shared" si="2"/>
        <v>0</v>
      </c>
    </row>
    <row r="27" spans="1:20" s="62" customFormat="1" ht="67.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97620.07+88172.96+97620.07+94471.03+97620.07+94471.03+97620.07</f>
        <v>667595.3</v>
      </c>
      <c r="S27" s="135">
        <f>97620.07+88172.96+97620.07+94471.03+97620.07+94471.03+97620.07</f>
        <v>667595.3</v>
      </c>
      <c r="T27" s="135">
        <f t="shared" si="2"/>
        <v>0</v>
      </c>
    </row>
    <row r="28" spans="1:20" s="62" customFormat="1" ht="76.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69120+105205.48+108712.33+105205.48+108712.33</f>
        <v>496955.62</v>
      </c>
      <c r="S28" s="135">
        <f>69120+105205.48+108712.33+105205.48+108712.33</f>
        <v>496955.62</v>
      </c>
      <c r="T28" s="135">
        <v>0</v>
      </c>
    </row>
    <row r="29" spans="1:20" s="62" customFormat="1" ht="72" customHeight="1">
      <c r="A29" s="139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>
        <f>8050.74+124786.53</f>
        <v>132837.27</v>
      </c>
      <c r="S29" s="135">
        <f>8050.74+124786.53</f>
        <v>132837.27</v>
      </c>
      <c r="T29" s="135">
        <v>0</v>
      </c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3338705.52</v>
      </c>
      <c r="S30" s="133">
        <f t="shared" si="3"/>
        <v>3338705.52</v>
      </c>
      <c r="T30" s="133">
        <f t="shared" si="3"/>
        <v>0</v>
      </c>
    </row>
    <row r="31" spans="1:20" s="62" customFormat="1" ht="18.75" customHeight="1">
      <c r="A31" s="176" t="s">
        <v>20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76" t="s">
        <v>27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79" t="s">
        <v>31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1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108193000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20604000</v>
      </c>
      <c r="O38" s="133">
        <f t="shared" si="4"/>
        <v>108193000</v>
      </c>
      <c r="P38" s="133">
        <f t="shared" si="4"/>
        <v>0</v>
      </c>
      <c r="Q38" s="133">
        <f t="shared" si="4"/>
        <v>0</v>
      </c>
      <c r="R38" s="133">
        <f t="shared" si="4"/>
        <v>3354702.4</v>
      </c>
      <c r="S38" s="133">
        <f t="shared" si="4"/>
        <v>3354702.4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84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68" t="s">
        <v>73</v>
      </c>
      <c r="H44" s="169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G44:H44"/>
    <mergeCell ref="A13:T13"/>
    <mergeCell ref="A16:T16"/>
    <mergeCell ref="A21:T21"/>
    <mergeCell ref="A31:T31"/>
    <mergeCell ref="A34:T34"/>
    <mergeCell ref="A37:T37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2021-09-08T06:14:30Z</cp:lastPrinted>
  <dcterms:created xsi:type="dcterms:W3CDTF">2006-06-05T06:40:26Z</dcterms:created>
  <dcterms:modified xsi:type="dcterms:W3CDTF">2021-10-26T07:28:38Z</dcterms:modified>
  <cp:category/>
  <cp:version/>
  <cp:contentType/>
  <cp:contentStatus/>
</cp:coreProperties>
</file>