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655" firstSheet="2" activeTab="3"/>
  </bookViews>
  <sheets>
    <sheet name="муниципалы на 01.02.20г." sheetId="1" state="hidden" r:id="rId1"/>
    <sheet name="муниципалы на 01.01.22" sheetId="2" r:id="rId2"/>
    <sheet name="муниципалы на 01.02.22" sheetId="3" r:id="rId3"/>
    <sheet name="муниципалы на 01.03.22 " sheetId="4" r:id="rId4"/>
    <sheet name="муниципалы на 01.04.22  " sheetId="5" state="hidden" r:id="rId5"/>
  </sheets>
  <definedNames/>
  <calcPr fullCalcOnLoad="1"/>
</workbook>
</file>

<file path=xl/sharedStrings.xml><?xml version="1.0" encoding="utf-8"?>
<sst xmlns="http://schemas.openxmlformats.org/spreadsheetml/2006/main" count="675" uniqueCount="116">
  <si>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</si>
  <si>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</si>
  <si>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</si>
  <si>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</si>
  <si>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</si>
  <si>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</si>
  <si>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</si>
  <si>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</si>
  <si>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</si>
  <si>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</si>
  <si>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</si>
  <si>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</si>
  <si>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</si>
  <si>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</si>
  <si>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</si>
  <si>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</si>
  <si>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</si>
  <si>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</si>
  <si>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</si>
  <si>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</si>
  <si>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</si>
  <si>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</si>
  <si>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</si>
  <si>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</si>
  <si>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</si>
  <si>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</si>
  <si>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</si>
  <si>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</si>
  <si>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</si>
  <si>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</si>
  <si>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</si>
  <si>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</si>
  <si>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</si>
  <si>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Олонецкого национального муниципального района на 01.02.2020г.</t>
  </si>
  <si>
    <t>Министерство Финансов РК</t>
  </si>
  <si>
    <t>Соглашение о реструктуризации №9-1/17р от 23.01.2017г.</t>
  </si>
  <si>
    <t>руб.</t>
  </si>
  <si>
    <t>25.12.2021г.</t>
  </si>
  <si>
    <t>Дотация бюджетам муниципальных районов на выравнивание бюджетной обеспеченности</t>
  </si>
  <si>
    <t>0,1 % годовых</t>
  </si>
  <si>
    <t>23.01.2017г.</t>
  </si>
  <si>
    <t>Договор №9-1/17 от 19.06.2017г.</t>
  </si>
  <si>
    <t>Дотация бюджетам муниципальных районов на выравнивание бюджетной обеспеченности, налоговые и неналоговые доходы муниципального района</t>
  </si>
  <si>
    <t xml:space="preserve">1/3 ставка рефен. </t>
  </si>
  <si>
    <t>19.06.2017г.</t>
  </si>
  <si>
    <t>31.05.2020г.</t>
  </si>
  <si>
    <t>Договор №9-2/17 от 11.08.2017г.</t>
  </si>
  <si>
    <t>20.07.2020г.</t>
  </si>
  <si>
    <t>11.08.2017г.</t>
  </si>
  <si>
    <t>Договор №9-3/17 от 25.12.2017г.</t>
  </si>
  <si>
    <t>20.12.2020г.</t>
  </si>
  <si>
    <t>25.12.2017г.</t>
  </si>
  <si>
    <t>Договор №9-1/18 от 10.09.2018г.</t>
  </si>
  <si>
    <t>25.08.2021г.</t>
  </si>
  <si>
    <t>налоговые и неналоговые доходы муниципального района</t>
  </si>
  <si>
    <t>10.09.2018г.</t>
  </si>
  <si>
    <t>Соглашение о реструктуризации  №9-1/19р от 11.06.2019г.</t>
  </si>
  <si>
    <t>11.06.2019г.</t>
  </si>
  <si>
    <t>АКБ "НООСФЕРА"</t>
  </si>
  <si>
    <t>19.02.2020г.</t>
  </si>
  <si>
    <t>10.02.2020г.</t>
  </si>
  <si>
    <t>Муниципальный контракт  №0106300009117000049 от 19.12.2017г.</t>
  </si>
  <si>
    <t>27.11.2021г.</t>
  </si>
  <si>
    <t>Муниципальный контракт  №0106300009118000048 от 31.08.2018г.</t>
  </si>
  <si>
    <t>ПАО "Совкомбанк</t>
  </si>
  <si>
    <t>31.08.2020г.</t>
  </si>
  <si>
    <t>31.08.2018г.</t>
  </si>
  <si>
    <t>Муниципальный контракт  №0106300009119000047 от16.07.2019г.</t>
  </si>
  <si>
    <t>ПАО "Сбербанк России"</t>
  </si>
  <si>
    <t>17.07.2021г.</t>
  </si>
  <si>
    <t>Руководитель финансового органа                                             / Столярова Т.Н.                                  /</t>
  </si>
  <si>
    <t>Исполнитель                                             /   Токко О.В.                                /</t>
  </si>
  <si>
    <t>И.о. главы Администрации Олонецкого национального муниципального образования                                                              /      Мурый В.Н.                             /</t>
  </si>
  <si>
    <t>телефон (881436) 41903</t>
  </si>
  <si>
    <t>Муниципальный контракт  №0106300009119000057 от 19.11.2019г.</t>
  </si>
  <si>
    <t>28.11.2019г.</t>
  </si>
  <si>
    <t>19.07.2019г.</t>
  </si>
  <si>
    <t>Муниципальный контракт  №0106300009120000002 от 25.02.2020г.</t>
  </si>
  <si>
    <t>25.02.2022г.</t>
  </si>
  <si>
    <t>Муниципальный контракт  №01063000091200000016 от 09.04.2020г.</t>
  </si>
  <si>
    <t>Приложение № 1 к Порядку от 27.05.2020 г. № 447</t>
  </si>
  <si>
    <t>Муниципальный контракт  №01063000091200000029 от 16.06.2020г.</t>
  </si>
  <si>
    <t>ПАО банк "Финансовая Корпорация Открытие"</t>
  </si>
  <si>
    <t>16.06.2022г.</t>
  </si>
  <si>
    <t>17.06.2020г.</t>
  </si>
  <si>
    <t>Муниципальный контракт  №01063000091200000086 от 28.12.2020г.</t>
  </si>
  <si>
    <t>28.07.2022г.</t>
  </si>
  <si>
    <t>28.12.2020г.</t>
  </si>
  <si>
    <t>Объем муниципального долга  на 01.01.2021г.</t>
  </si>
  <si>
    <t>восстановление переплач. суммы</t>
  </si>
  <si>
    <t>Муниципальный контракт  №01063000091210000004 от 26.02.2021г.</t>
  </si>
  <si>
    <t>ПАО №Совкомбанк"</t>
  </si>
  <si>
    <t>26.02.2023г.</t>
  </si>
  <si>
    <t>05.03.2021г.</t>
  </si>
  <si>
    <t>10.03.2021г.</t>
  </si>
  <si>
    <t>Муниципальный контракт  №01063000091210000061 от 28.06.2021г.</t>
  </si>
  <si>
    <t>28.06.2023г.</t>
  </si>
  <si>
    <t>Соглашение № 9-1/21 от 27.09.2021г.</t>
  </si>
  <si>
    <t>15.12.2025г.</t>
  </si>
  <si>
    <t>15.09.2021г.</t>
  </si>
  <si>
    <t>Объем муниципального долга  на 1.01.2022г.</t>
  </si>
  <si>
    <t>Объем задолженности по процентам на 1.01.2022г.</t>
  </si>
  <si>
    <t>Информация о долговых обязательствах муниципального образования Олонецкого национального муниципального района на 01.01.2022г.</t>
  </si>
  <si>
    <t>Информация о долговых обязательствах муниципального образования Олонецкого национального муниципального района на 01.02.2022г.</t>
  </si>
  <si>
    <t>Объем муниципального долга  на 01.01.2022г.</t>
  </si>
  <si>
    <t>Объем задолженности по процентам на 1.02.2022г.</t>
  </si>
  <si>
    <t>Объем муниципального долга  на 1.02.2022г.</t>
  </si>
  <si>
    <t>Глава Администрации Олонецкого национального муниципального образования                                                              /     Мурый В.Н.           /</t>
  </si>
  <si>
    <t>Мурый В.Н.</t>
  </si>
  <si>
    <t>Глава Администрации Олонецкого национального муниципального образования                                                              /      Пешков А.М.                      /</t>
  </si>
  <si>
    <t>Информация о долговых обязательствах муниципального образования Олонецкого национального муниципального района на 01.03.2022г.</t>
  </si>
  <si>
    <t>Объем муниципального долга  на 1.03.2022г.</t>
  </si>
  <si>
    <t>Объем задолженности по процентам на 1.03.2022г.</t>
  </si>
  <si>
    <t>Информация о долговых обязательствах муниципального образования Олонецкого национального муниципального района на 01.04.2022г.</t>
  </si>
  <si>
    <t>Объем задолженности по процентам на 1.04.2022г.</t>
  </si>
  <si>
    <t>Объем муниципального долга  на 1.04.2022г.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</si>
</sst>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  <numFmt numFmtId="180" formatCode="0.0000"/>
  </numFmts>
  <fonts count="4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4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 wrapText="1"/>
    </xf>
    <xf numFmtId="14" fontId="10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5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 vertical="center"/>
    </xf>
    <xf numFmtId="2" fontId="2" fillId="0" borderId="11" xfId="0" applyNumberFormat="1" applyFont="1" applyFill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left" vertical="center"/>
    </xf>
    <xf numFmtId="2" fontId="2" fillId="0" borderId="15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2" fontId="2" fillId="0" borderId="18" xfId="0" applyNumberFormat="1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zoomScalePageLayoutView="0" workbookViewId="0" topLeftCell="A8">
      <pane ySplit="2655" topLeftCell="A10" activePane="bottomLeft" state="split"/>
      <selection pane="topLeft" activeCell="A8" sqref="A8"/>
      <selection pane="bottomLeft" activeCell="N23" sqref="N23"/>
    </sheetView>
  </sheetViews>
  <sheetFormatPr defaultColWidth="9.00390625" defaultRowHeight="12.75"/>
  <cols>
    <col min="1" max="1" width="4.25390625" style="1" customWidth="1"/>
    <col min="2" max="2" width="13.25390625" style="4" customWidth="1"/>
    <col min="3" max="3" width="10.375" style="4" customWidth="1"/>
    <col min="4" max="5" width="12.00390625" style="8" customWidth="1"/>
    <col min="6" max="6" width="13.375" style="8" customWidth="1"/>
    <col min="7" max="7" width="11.375" style="10" customWidth="1"/>
    <col min="8" max="8" width="12.125" style="10" customWidth="1"/>
    <col min="9" max="10" width="14.62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0.875" style="1" customWidth="1"/>
    <col min="15" max="15" width="11.875" style="1" customWidth="1"/>
    <col min="16" max="16" width="8.00390625" style="1" customWidth="1"/>
    <col min="17" max="17" width="13.375" style="1" customWidth="1"/>
    <col min="18" max="18" width="11.25390625" style="1" customWidth="1"/>
    <col min="19" max="19" width="11.625" style="1" customWidth="1"/>
    <col min="20" max="20" width="12.125" style="1" customWidth="1"/>
    <col min="21" max="16384" width="9.125" style="1" customWidth="1"/>
  </cols>
  <sheetData>
    <row r="1" spans="19:20" ht="12.75">
      <c r="S1" s="150" t="s">
        <v>32</v>
      </c>
      <c r="T1" s="150"/>
    </row>
    <row r="2" spans="19:20" ht="26.25" customHeight="1">
      <c r="S2" s="150"/>
      <c r="T2" s="150"/>
    </row>
    <row r="3" spans="1:20" ht="21.75" customHeight="1">
      <c r="A3" s="43" t="s">
        <v>28</v>
      </c>
      <c r="B3" s="43"/>
      <c r="C3" s="43"/>
      <c r="D3" s="43"/>
      <c r="E3" s="43"/>
      <c r="F3" s="43"/>
      <c r="G3" s="45"/>
      <c r="H3" s="45"/>
      <c r="I3" s="45"/>
      <c r="J3" s="44" t="s">
        <v>33</v>
      </c>
      <c r="K3" s="44"/>
      <c r="L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49"/>
      <c r="H7" s="149"/>
      <c r="I7" s="149"/>
      <c r="J7" s="149"/>
      <c r="K7" s="149"/>
      <c r="L7" s="149"/>
      <c r="M7" s="149"/>
      <c r="N7" s="149"/>
      <c r="O7" s="9"/>
      <c r="P7" s="9"/>
    </row>
    <row r="8" ht="5.25" customHeight="1"/>
    <row r="9" ht="15" customHeight="1"/>
    <row r="10" spans="1:20" ht="52.5" customHeight="1">
      <c r="A10" s="157" t="s">
        <v>0</v>
      </c>
      <c r="B10" s="143" t="s">
        <v>13</v>
      </c>
      <c r="C10" s="143" t="s">
        <v>3</v>
      </c>
      <c r="D10" s="143" t="s">
        <v>9</v>
      </c>
      <c r="E10" s="143" t="s">
        <v>14</v>
      </c>
      <c r="F10" s="143" t="s">
        <v>11</v>
      </c>
      <c r="G10" s="143" t="s">
        <v>10</v>
      </c>
      <c r="H10" s="143" t="s">
        <v>6</v>
      </c>
      <c r="I10" s="143" t="s">
        <v>12</v>
      </c>
      <c r="J10" s="143" t="s">
        <v>29</v>
      </c>
      <c r="K10" s="143" t="s">
        <v>23</v>
      </c>
      <c r="L10" s="143" t="s">
        <v>24</v>
      </c>
      <c r="M10" s="143" t="s">
        <v>25</v>
      </c>
      <c r="N10" s="143" t="s">
        <v>26</v>
      </c>
      <c r="O10" s="141" t="s">
        <v>22</v>
      </c>
      <c r="P10" s="142"/>
      <c r="Q10" s="143" t="s">
        <v>15</v>
      </c>
      <c r="R10" s="143" t="s">
        <v>16</v>
      </c>
      <c r="S10" s="143" t="s">
        <v>8</v>
      </c>
      <c r="T10" s="143" t="s">
        <v>30</v>
      </c>
    </row>
    <row r="11" spans="1:20" s="13" customFormat="1" ht="94.5" customHeight="1">
      <c r="A11" s="157"/>
      <c r="B11" s="144"/>
      <c r="C11" s="144"/>
      <c r="D11" s="144"/>
      <c r="E11" s="145"/>
      <c r="F11" s="145"/>
      <c r="G11" s="144"/>
      <c r="H11" s="144"/>
      <c r="I11" s="144"/>
      <c r="J11" s="144"/>
      <c r="K11" s="144"/>
      <c r="L11" s="144"/>
      <c r="M11" s="144"/>
      <c r="N11" s="144"/>
      <c r="O11" s="40" t="s">
        <v>4</v>
      </c>
      <c r="P11" s="40" t="s">
        <v>5</v>
      </c>
      <c r="Q11" s="144"/>
      <c r="R11" s="144"/>
      <c r="S11" s="144"/>
      <c r="T11" s="14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54" t="s">
        <v>17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6"/>
    </row>
    <row r="14" spans="1:20" s="3" customFormat="1" ht="18.75" customHeight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51" t="s">
        <v>18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3"/>
    </row>
    <row r="17" spans="1:20" s="3" customFormat="1" ht="131.25" customHeight="1">
      <c r="A17" s="33">
        <v>1</v>
      </c>
      <c r="B17" s="50" t="s">
        <v>35</v>
      </c>
      <c r="C17" s="49" t="s">
        <v>34</v>
      </c>
      <c r="D17" s="54">
        <v>36756000</v>
      </c>
      <c r="E17" s="53" t="s">
        <v>36</v>
      </c>
      <c r="F17" s="54">
        <v>8998000</v>
      </c>
      <c r="G17" s="55" t="s">
        <v>37</v>
      </c>
      <c r="H17" s="56" t="s">
        <v>38</v>
      </c>
      <c r="I17" s="57" t="s">
        <v>39</v>
      </c>
      <c r="J17" s="52">
        <v>19664000</v>
      </c>
      <c r="K17" s="57" t="s">
        <v>40</v>
      </c>
      <c r="L17" s="28">
        <v>0</v>
      </c>
      <c r="M17" s="55"/>
      <c r="N17" s="57">
        <v>818000</v>
      </c>
      <c r="O17" s="58">
        <f aca="true" t="shared" si="0" ref="O17:O22">J17+L17-N17</f>
        <v>18846000</v>
      </c>
      <c r="P17" s="28">
        <v>0</v>
      </c>
      <c r="Q17" s="28">
        <v>0</v>
      </c>
      <c r="R17" s="28">
        <v>0</v>
      </c>
      <c r="S17" s="28">
        <v>0</v>
      </c>
      <c r="T17" s="34">
        <f aca="true" t="shared" si="1" ref="T17:T22">Q17+R17-S17</f>
        <v>0</v>
      </c>
    </row>
    <row r="18" spans="1:20" s="3" customFormat="1" ht="131.25" customHeight="1">
      <c r="A18" s="33">
        <v>2</v>
      </c>
      <c r="B18" s="50" t="s">
        <v>41</v>
      </c>
      <c r="C18" s="49" t="s">
        <v>34</v>
      </c>
      <c r="D18" s="54">
        <v>20000000</v>
      </c>
      <c r="E18" s="53" t="s">
        <v>36</v>
      </c>
      <c r="F18" s="54">
        <v>3578000</v>
      </c>
      <c r="G18" s="55" t="s">
        <v>45</v>
      </c>
      <c r="H18" s="56" t="s">
        <v>42</v>
      </c>
      <c r="I18" s="57" t="s">
        <v>43</v>
      </c>
      <c r="J18" s="54">
        <v>3578000</v>
      </c>
      <c r="K18" s="55" t="s">
        <v>44</v>
      </c>
      <c r="L18" s="28">
        <v>0</v>
      </c>
      <c r="M18" s="55"/>
      <c r="N18" s="58">
        <f>716000+716000</f>
        <v>1432000</v>
      </c>
      <c r="O18" s="58">
        <f t="shared" si="0"/>
        <v>2146000</v>
      </c>
      <c r="P18" s="28">
        <v>0</v>
      </c>
      <c r="Q18" s="28">
        <v>0</v>
      </c>
      <c r="R18" s="28">
        <v>0</v>
      </c>
      <c r="S18" s="28">
        <v>0</v>
      </c>
      <c r="T18" s="34">
        <f t="shared" si="1"/>
        <v>0</v>
      </c>
    </row>
    <row r="19" spans="1:20" s="3" customFormat="1" ht="131.25" customHeight="1">
      <c r="A19" s="33">
        <v>3</v>
      </c>
      <c r="B19" s="50" t="s">
        <v>46</v>
      </c>
      <c r="C19" s="49" t="s">
        <v>34</v>
      </c>
      <c r="D19" s="54">
        <v>1400000</v>
      </c>
      <c r="E19" s="53" t="s">
        <v>36</v>
      </c>
      <c r="F19" s="54">
        <v>342000</v>
      </c>
      <c r="G19" s="55" t="s">
        <v>47</v>
      </c>
      <c r="H19" s="56" t="s">
        <v>42</v>
      </c>
      <c r="I19" s="57" t="s">
        <v>43</v>
      </c>
      <c r="J19" s="54">
        <v>342000</v>
      </c>
      <c r="K19" s="55" t="s">
        <v>48</v>
      </c>
      <c r="L19" s="28">
        <v>0</v>
      </c>
      <c r="M19" s="55"/>
      <c r="N19" s="58">
        <f>46000+46000</f>
        <v>92000</v>
      </c>
      <c r="O19" s="58">
        <f t="shared" si="0"/>
        <v>250000</v>
      </c>
      <c r="P19" s="28">
        <v>0</v>
      </c>
      <c r="Q19" s="28">
        <v>0</v>
      </c>
      <c r="R19" s="28">
        <v>0</v>
      </c>
      <c r="S19" s="28">
        <v>0</v>
      </c>
      <c r="T19" s="34">
        <f t="shared" si="1"/>
        <v>0</v>
      </c>
    </row>
    <row r="20" spans="1:20" s="3" customFormat="1" ht="131.25" customHeight="1">
      <c r="A20" s="33">
        <v>4</v>
      </c>
      <c r="B20" s="50" t="s">
        <v>49</v>
      </c>
      <c r="C20" s="49" t="s">
        <v>34</v>
      </c>
      <c r="D20" s="54">
        <v>10000000</v>
      </c>
      <c r="E20" s="53" t="s">
        <v>36</v>
      </c>
      <c r="F20" s="54">
        <v>3560000</v>
      </c>
      <c r="G20" s="55" t="s">
        <v>50</v>
      </c>
      <c r="H20" s="56" t="s">
        <v>38</v>
      </c>
      <c r="I20" s="57" t="s">
        <v>43</v>
      </c>
      <c r="J20" s="54">
        <v>3560000</v>
      </c>
      <c r="K20" s="55" t="s">
        <v>51</v>
      </c>
      <c r="L20" s="28">
        <v>0</v>
      </c>
      <c r="M20" s="55"/>
      <c r="N20" s="58">
        <f>296000+296000</f>
        <v>592000</v>
      </c>
      <c r="O20" s="58">
        <f t="shared" si="0"/>
        <v>2968000</v>
      </c>
      <c r="P20" s="28">
        <v>0</v>
      </c>
      <c r="Q20" s="28">
        <v>0</v>
      </c>
      <c r="R20" s="28">
        <v>0</v>
      </c>
      <c r="S20" s="28">
        <v>0</v>
      </c>
      <c r="T20" s="34">
        <f t="shared" si="1"/>
        <v>0</v>
      </c>
    </row>
    <row r="21" spans="1:20" s="3" customFormat="1" ht="131.25" customHeight="1">
      <c r="A21" s="33">
        <v>5</v>
      </c>
      <c r="B21" s="50" t="s">
        <v>52</v>
      </c>
      <c r="C21" s="49" t="s">
        <v>34</v>
      </c>
      <c r="D21" s="54">
        <v>2500000</v>
      </c>
      <c r="E21" s="53" t="s">
        <v>36</v>
      </c>
      <c r="F21" s="54">
        <v>0</v>
      </c>
      <c r="G21" s="55" t="s">
        <v>53</v>
      </c>
      <c r="H21" s="56" t="s">
        <v>54</v>
      </c>
      <c r="I21" s="57" t="s">
        <v>43</v>
      </c>
      <c r="J21" s="54">
        <v>2500000</v>
      </c>
      <c r="K21" s="55" t="s">
        <v>55</v>
      </c>
      <c r="L21" s="28">
        <v>0</v>
      </c>
      <c r="M21" s="55"/>
      <c r="N21" s="58"/>
      <c r="O21" s="58">
        <f t="shared" si="0"/>
        <v>2500000</v>
      </c>
      <c r="P21" s="28">
        <v>0</v>
      </c>
      <c r="Q21" s="28">
        <v>0</v>
      </c>
      <c r="R21" s="28">
        <v>0</v>
      </c>
      <c r="S21" s="28">
        <v>0</v>
      </c>
      <c r="T21" s="34">
        <f t="shared" si="1"/>
        <v>0</v>
      </c>
    </row>
    <row r="22" spans="1:20" s="3" customFormat="1" ht="131.25" customHeight="1">
      <c r="A22" s="33">
        <v>6</v>
      </c>
      <c r="B22" s="50" t="s">
        <v>56</v>
      </c>
      <c r="C22" s="49" t="s">
        <v>34</v>
      </c>
      <c r="D22" s="54">
        <v>12340000</v>
      </c>
      <c r="E22" s="53" t="s">
        <v>36</v>
      </c>
      <c r="F22" s="54">
        <v>10340000</v>
      </c>
      <c r="G22" s="55" t="s">
        <v>37</v>
      </c>
      <c r="H22" s="56" t="s">
        <v>54</v>
      </c>
      <c r="I22" s="57" t="s">
        <v>39</v>
      </c>
      <c r="J22" s="54">
        <v>12340000</v>
      </c>
      <c r="K22" s="55" t="s">
        <v>57</v>
      </c>
      <c r="L22" s="28">
        <v>0</v>
      </c>
      <c r="M22" s="55"/>
      <c r="N22" s="58">
        <v>196000</v>
      </c>
      <c r="O22" s="58">
        <f t="shared" si="0"/>
        <v>12144000</v>
      </c>
      <c r="P22" s="28">
        <v>0</v>
      </c>
      <c r="Q22" s="28">
        <v>0</v>
      </c>
      <c r="R22" s="28">
        <v>0</v>
      </c>
      <c r="S22" s="28">
        <v>0</v>
      </c>
      <c r="T22" s="34">
        <f t="shared" si="1"/>
        <v>0</v>
      </c>
    </row>
    <row r="23" spans="1:20" s="3" customFormat="1" ht="18.75" customHeight="1">
      <c r="A23" s="35" t="s">
        <v>1</v>
      </c>
      <c r="B23" s="22"/>
      <c r="C23" s="24" t="s">
        <v>7</v>
      </c>
      <c r="D23" s="24" t="s">
        <v>7</v>
      </c>
      <c r="E23" s="24" t="s">
        <v>7</v>
      </c>
      <c r="F23" s="51">
        <f>SUM(F17:F22)</f>
        <v>26818000</v>
      </c>
      <c r="G23" s="24" t="s">
        <v>7</v>
      </c>
      <c r="H23" s="24" t="s">
        <v>7</v>
      </c>
      <c r="I23" s="24" t="s">
        <v>7</v>
      </c>
      <c r="J23" s="51">
        <f>J17+J18+J19+J20+J21+J22</f>
        <v>41984000</v>
      </c>
      <c r="K23" s="24" t="s">
        <v>7</v>
      </c>
      <c r="L23" s="51">
        <f>L17+L18+L19+L20+L21+L22</f>
        <v>0</v>
      </c>
      <c r="M23" s="24" t="s">
        <v>7</v>
      </c>
      <c r="N23" s="51">
        <f aca="true" t="shared" si="2" ref="N23:T23">N17+N18+N19+N20+N21+N22</f>
        <v>3130000</v>
      </c>
      <c r="O23" s="51">
        <f t="shared" si="2"/>
        <v>38854000</v>
      </c>
      <c r="P23" s="51">
        <f t="shared" si="2"/>
        <v>0</v>
      </c>
      <c r="Q23" s="51">
        <f t="shared" si="2"/>
        <v>0</v>
      </c>
      <c r="R23" s="51">
        <f t="shared" si="2"/>
        <v>0</v>
      </c>
      <c r="S23" s="51">
        <f t="shared" si="2"/>
        <v>0</v>
      </c>
      <c r="T23" s="51">
        <f t="shared" si="2"/>
        <v>0</v>
      </c>
    </row>
    <row r="24" spans="1:20" s="3" customFormat="1" ht="31.5" customHeight="1">
      <c r="A24" s="151" t="s">
        <v>19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3"/>
    </row>
    <row r="25" spans="1:20" s="3" customFormat="1" ht="131.25" customHeight="1">
      <c r="A25" s="33">
        <v>1</v>
      </c>
      <c r="B25" s="50" t="s">
        <v>61</v>
      </c>
      <c r="C25" s="49" t="s">
        <v>58</v>
      </c>
      <c r="D25" s="54">
        <v>10000000</v>
      </c>
      <c r="E25" s="53" t="s">
        <v>36</v>
      </c>
      <c r="F25" s="54">
        <v>10000000</v>
      </c>
      <c r="G25" s="55" t="s">
        <v>59</v>
      </c>
      <c r="H25" s="56" t="s">
        <v>54</v>
      </c>
      <c r="I25" s="58">
        <v>9.45</v>
      </c>
      <c r="J25" s="54">
        <v>8700000</v>
      </c>
      <c r="K25" s="55" t="s">
        <v>57</v>
      </c>
      <c r="L25" s="28">
        <v>0</v>
      </c>
      <c r="M25" s="55" t="s">
        <v>60</v>
      </c>
      <c r="N25" s="54">
        <f>5000000+3700000</f>
        <v>8700000</v>
      </c>
      <c r="O25" s="58">
        <f>J25+L25-N25</f>
        <v>0</v>
      </c>
      <c r="P25" s="57">
        <v>0</v>
      </c>
      <c r="Q25" s="57">
        <v>0</v>
      </c>
      <c r="R25" s="58">
        <v>73828.86</v>
      </c>
      <c r="S25" s="58">
        <v>73828.86</v>
      </c>
      <c r="T25" s="59">
        <f>Q25+R25-S25</f>
        <v>0</v>
      </c>
    </row>
    <row r="26" spans="1:20" s="3" customFormat="1" ht="131.25" customHeight="1">
      <c r="A26" s="33">
        <v>2</v>
      </c>
      <c r="B26" s="50" t="s">
        <v>63</v>
      </c>
      <c r="C26" s="49" t="s">
        <v>64</v>
      </c>
      <c r="D26" s="54">
        <v>16000000</v>
      </c>
      <c r="E26" s="53" t="s">
        <v>36</v>
      </c>
      <c r="F26" s="54">
        <v>16000000</v>
      </c>
      <c r="G26" s="55" t="s">
        <v>65</v>
      </c>
      <c r="H26" s="56" t="s">
        <v>54</v>
      </c>
      <c r="I26" s="58">
        <v>9.73</v>
      </c>
      <c r="J26" s="54">
        <v>16000000</v>
      </c>
      <c r="K26" s="55" t="s">
        <v>66</v>
      </c>
      <c r="L26" s="28">
        <v>0</v>
      </c>
      <c r="M26" s="55"/>
      <c r="N26" s="54">
        <v>0</v>
      </c>
      <c r="O26" s="58">
        <f>J26+L26-N26</f>
        <v>16000000</v>
      </c>
      <c r="P26" s="57">
        <v>0</v>
      </c>
      <c r="Q26" s="57">
        <v>0</v>
      </c>
      <c r="R26" s="58">
        <v>243048.14</v>
      </c>
      <c r="S26" s="58">
        <v>243048.14</v>
      </c>
      <c r="T26" s="59">
        <f>Q26+R26-S26</f>
        <v>0</v>
      </c>
    </row>
    <row r="27" spans="1:20" s="3" customFormat="1" ht="131.25" customHeight="1">
      <c r="A27" s="33">
        <v>3</v>
      </c>
      <c r="B27" s="50" t="s">
        <v>67</v>
      </c>
      <c r="C27" s="49" t="s">
        <v>68</v>
      </c>
      <c r="D27" s="54">
        <v>15000000</v>
      </c>
      <c r="E27" s="53" t="s">
        <v>36</v>
      </c>
      <c r="F27" s="54">
        <v>0</v>
      </c>
      <c r="G27" s="55" t="s">
        <v>69</v>
      </c>
      <c r="H27" s="56" t="s">
        <v>54</v>
      </c>
      <c r="I27" s="58">
        <v>9.35</v>
      </c>
      <c r="J27" s="54">
        <v>15000000</v>
      </c>
      <c r="K27" s="55" t="s">
        <v>76</v>
      </c>
      <c r="L27" s="28">
        <v>0</v>
      </c>
      <c r="M27" s="55"/>
      <c r="N27" s="54">
        <v>0</v>
      </c>
      <c r="O27" s="58">
        <f>J27+L27-N27</f>
        <v>15000000</v>
      </c>
      <c r="P27" s="57">
        <v>0</v>
      </c>
      <c r="Q27" s="57">
        <v>0</v>
      </c>
      <c r="R27" s="58">
        <v>242201.03</v>
      </c>
      <c r="S27" s="58">
        <v>242201.03</v>
      </c>
      <c r="T27" s="59">
        <f>Q27+R27-S27</f>
        <v>0</v>
      </c>
    </row>
    <row r="28" spans="1:20" s="3" customFormat="1" ht="131.25" customHeight="1">
      <c r="A28" s="33">
        <v>4</v>
      </c>
      <c r="B28" s="50" t="s">
        <v>74</v>
      </c>
      <c r="C28" s="49" t="s">
        <v>58</v>
      </c>
      <c r="D28" s="54">
        <v>5600000</v>
      </c>
      <c r="E28" s="53" t="s">
        <v>36</v>
      </c>
      <c r="F28" s="54">
        <v>0</v>
      </c>
      <c r="G28" s="55" t="s">
        <v>62</v>
      </c>
      <c r="H28" s="56" t="s">
        <v>54</v>
      </c>
      <c r="I28" s="58">
        <v>9.4</v>
      </c>
      <c r="J28" s="54">
        <v>5600000</v>
      </c>
      <c r="K28" s="55" t="s">
        <v>75</v>
      </c>
      <c r="L28" s="28">
        <v>0</v>
      </c>
      <c r="M28" s="55"/>
      <c r="N28" s="54"/>
      <c r="O28" s="58">
        <f>J28+L28-N28</f>
        <v>5600000</v>
      </c>
      <c r="P28" s="57">
        <v>0</v>
      </c>
      <c r="Q28" s="57">
        <v>0</v>
      </c>
      <c r="R28" s="58">
        <v>44585.79</v>
      </c>
      <c r="S28" s="58">
        <v>44585.79</v>
      </c>
      <c r="T28" s="59">
        <f>Q28+R28-S28</f>
        <v>0</v>
      </c>
    </row>
    <row r="29" spans="1:20" s="3" customFormat="1" ht="21.7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</row>
    <row r="30" spans="1:20" s="3" customFormat="1" ht="18.75" customHeight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51">
        <f>F25+F26+F27+F28</f>
        <v>26000000</v>
      </c>
      <c r="G31" s="24" t="s">
        <v>7</v>
      </c>
      <c r="H31" s="24" t="s">
        <v>7</v>
      </c>
      <c r="I31" s="24" t="s">
        <v>7</v>
      </c>
      <c r="J31" s="51">
        <f>J25+J26+J27+J28</f>
        <v>45300000</v>
      </c>
      <c r="K31" s="24" t="s">
        <v>7</v>
      </c>
      <c r="L31" s="51">
        <f>L25+L26+L27+L28</f>
        <v>0</v>
      </c>
      <c r="M31" s="24" t="s">
        <v>7</v>
      </c>
      <c r="N31" s="51">
        <f>N25+N26+N27+N28</f>
        <v>8700000</v>
      </c>
      <c r="O31" s="51">
        <f aca="true" t="shared" si="3" ref="O31:T31">O25+O26+O27+O28</f>
        <v>36600000</v>
      </c>
      <c r="P31" s="51">
        <f t="shared" si="3"/>
        <v>0</v>
      </c>
      <c r="Q31" s="51">
        <f t="shared" si="3"/>
        <v>0</v>
      </c>
      <c r="R31" s="51">
        <f t="shared" si="3"/>
        <v>603663.8200000001</v>
      </c>
      <c r="S31" s="51">
        <f t="shared" si="3"/>
        <v>603663.8200000001</v>
      </c>
      <c r="T31" s="51">
        <f t="shared" si="3"/>
        <v>0</v>
      </c>
    </row>
    <row r="32" spans="1:20" s="3" customFormat="1" ht="18.75" customHeight="1">
      <c r="A32" s="151" t="s">
        <v>20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3"/>
    </row>
    <row r="33" spans="1:20" s="3" customFormat="1" ht="18.75" customHeight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 t="s">
        <v>7</v>
      </c>
      <c r="F34" s="24"/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31.5" customHeight="1">
      <c r="A35" s="151" t="s">
        <v>27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3"/>
    </row>
    <row r="36" spans="1:20" s="3" customFormat="1" ht="18.75" customHeight="1">
      <c r="A36" s="33"/>
      <c r="B36" s="22"/>
      <c r="C36" s="23"/>
      <c r="D36" s="24"/>
      <c r="E36" s="42"/>
      <c r="F36" s="42"/>
      <c r="G36" s="25"/>
      <c r="H36" s="26"/>
      <c r="I36" s="28"/>
      <c r="J36" s="27"/>
      <c r="K36" s="28"/>
      <c r="L36" s="28"/>
      <c r="M36" s="28"/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35" t="s">
        <v>1</v>
      </c>
      <c r="B37" s="22"/>
      <c r="C37" s="24" t="s">
        <v>7</v>
      </c>
      <c r="D37" s="24" t="s">
        <v>7</v>
      </c>
      <c r="E37" s="24"/>
      <c r="F37" s="24"/>
      <c r="G37" s="24" t="s">
        <v>7</v>
      </c>
      <c r="H37" s="24" t="s">
        <v>7</v>
      </c>
      <c r="I37" s="24" t="s">
        <v>7</v>
      </c>
      <c r="J37" s="27"/>
      <c r="K37" s="24" t="s">
        <v>7</v>
      </c>
      <c r="L37" s="28"/>
      <c r="M37" s="24" t="s">
        <v>7</v>
      </c>
      <c r="N37" s="29"/>
      <c r="O37" s="28"/>
      <c r="P37" s="28"/>
      <c r="Q37" s="28"/>
      <c r="R37" s="28"/>
      <c r="S37" s="28"/>
      <c r="T37" s="34"/>
    </row>
    <row r="38" spans="1:20" s="3" customFormat="1" ht="18.75" customHeight="1">
      <c r="A38" s="146" t="s">
        <v>31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8"/>
    </row>
    <row r="39" spans="1:20" s="19" customFormat="1" ht="21.75" customHeight="1">
      <c r="A39" s="41"/>
      <c r="B39" s="41"/>
      <c r="C39" s="24" t="s">
        <v>7</v>
      </c>
      <c r="D39" s="24" t="s">
        <v>7</v>
      </c>
      <c r="E39" s="24" t="s">
        <v>7</v>
      </c>
      <c r="F39" s="51">
        <f>F23+F31</f>
        <v>52818000</v>
      </c>
      <c r="G39" s="24" t="s">
        <v>7</v>
      </c>
      <c r="H39" s="24" t="s">
        <v>7</v>
      </c>
      <c r="I39" s="24" t="s">
        <v>7</v>
      </c>
      <c r="J39" s="51">
        <f>J23+J31</f>
        <v>87284000</v>
      </c>
      <c r="K39" s="24" t="s">
        <v>7</v>
      </c>
      <c r="L39" s="51">
        <f>L23+L31</f>
        <v>0</v>
      </c>
      <c r="M39" s="24" t="s">
        <v>7</v>
      </c>
      <c r="N39" s="51">
        <f>N23+N31</f>
        <v>11830000</v>
      </c>
      <c r="O39" s="51">
        <f aca="true" t="shared" si="4" ref="O39:T39">O23+O31</f>
        <v>75454000</v>
      </c>
      <c r="P39" s="51">
        <f t="shared" si="4"/>
        <v>0</v>
      </c>
      <c r="Q39" s="51">
        <f t="shared" si="4"/>
        <v>0</v>
      </c>
      <c r="R39" s="51">
        <f t="shared" si="4"/>
        <v>603663.8200000001</v>
      </c>
      <c r="S39" s="51">
        <f t="shared" si="4"/>
        <v>603663.8200000001</v>
      </c>
      <c r="T39" s="51">
        <f t="shared" si="4"/>
        <v>0</v>
      </c>
    </row>
    <row r="40" spans="1:20" ht="10.5" customHeight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1:11" ht="12.75">
      <c r="A41" s="36" t="s">
        <v>72</v>
      </c>
      <c r="B41" s="37"/>
      <c r="C41" s="37"/>
      <c r="D41" s="38"/>
      <c r="E41" s="38"/>
      <c r="F41" s="38"/>
      <c r="G41" s="39"/>
      <c r="H41" s="39"/>
      <c r="J41" s="36"/>
      <c r="K41" s="36"/>
    </row>
    <row r="43" spans="1:11" ht="12.75">
      <c r="A43" s="36" t="s">
        <v>70</v>
      </c>
      <c r="B43" s="37"/>
      <c r="C43" s="37"/>
      <c r="D43" s="38"/>
      <c r="E43" s="38"/>
      <c r="F43" s="38"/>
      <c r="G43" s="39"/>
      <c r="H43" s="39"/>
      <c r="J43" s="36"/>
      <c r="K43" s="36"/>
    </row>
    <row r="45" spans="1:11" ht="12.75">
      <c r="A45" s="36" t="s">
        <v>71</v>
      </c>
      <c r="B45" s="37"/>
      <c r="C45" s="37"/>
      <c r="D45" s="38"/>
      <c r="E45" s="38"/>
      <c r="F45" s="38"/>
      <c r="G45" s="139" t="s">
        <v>73</v>
      </c>
      <c r="H45" s="140"/>
      <c r="J45" s="36"/>
      <c r="K45" s="36"/>
    </row>
    <row r="48" ht="12.75">
      <c r="A48" s="1" t="s">
        <v>21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28">
    <mergeCell ref="S1:T2"/>
    <mergeCell ref="A35:T35"/>
    <mergeCell ref="A24:T24"/>
    <mergeCell ref="A16:T16"/>
    <mergeCell ref="A13:T13"/>
    <mergeCell ref="A10:A11"/>
    <mergeCell ref="B10:B11"/>
    <mergeCell ref="C10:C11"/>
    <mergeCell ref="A32:T32"/>
    <mergeCell ref="N10:N11"/>
    <mergeCell ref="R10:R11"/>
    <mergeCell ref="S10:S11"/>
    <mergeCell ref="T10:T11"/>
    <mergeCell ref="G7:N7"/>
    <mergeCell ref="F10:F11"/>
    <mergeCell ref="K10:K11"/>
    <mergeCell ref="L10:L11"/>
    <mergeCell ref="M10:M11"/>
    <mergeCell ref="G45:H45"/>
    <mergeCell ref="O10:P10"/>
    <mergeCell ref="D10:D11"/>
    <mergeCell ref="G10:G11"/>
    <mergeCell ref="H10:H11"/>
    <mergeCell ref="I10:I11"/>
    <mergeCell ref="J10:J11"/>
    <mergeCell ref="E10:E11"/>
    <mergeCell ref="A38:T38"/>
    <mergeCell ref="Q10:Q11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10">
      <pane ySplit="3270" topLeftCell="A37" activePane="bottomLeft" state="split"/>
      <selection pane="topLeft" activeCell="U10" sqref="U1:V16384"/>
      <selection pane="bottomLeft" activeCell="D55" sqref="D55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102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88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100</v>
      </c>
      <c r="P10" s="175"/>
      <c r="Q10" s="172" t="s">
        <v>15</v>
      </c>
      <c r="R10" s="172" t="s">
        <v>16</v>
      </c>
      <c r="S10" s="172" t="s">
        <v>8</v>
      </c>
      <c r="T10" s="172" t="s">
        <v>101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102" customHeight="1">
      <c r="A17" s="89">
        <v>1</v>
      </c>
      <c r="B17" s="99" t="s">
        <v>35</v>
      </c>
      <c r="C17" s="100" t="s">
        <v>34</v>
      </c>
      <c r="D17" s="101">
        <v>36756000</v>
      </c>
      <c r="E17" s="102" t="s">
        <v>36</v>
      </c>
      <c r="F17" s="101">
        <f>O17</f>
        <v>0</v>
      </c>
      <c r="G17" s="60" t="s">
        <v>37</v>
      </c>
      <c r="H17" s="103" t="s">
        <v>38</v>
      </c>
      <c r="I17" s="66" t="s">
        <v>39</v>
      </c>
      <c r="J17" s="133">
        <v>10666000</v>
      </c>
      <c r="K17" s="66" t="s">
        <v>40</v>
      </c>
      <c r="L17" s="69"/>
      <c r="M17" s="60"/>
      <c r="N17" s="134">
        <f>970000+970000+970000+970000+970000+970000+970000+970000+970000+970000+966000</f>
        <v>10666000</v>
      </c>
      <c r="O17" s="134">
        <f>J17+L17-N17</f>
        <v>0</v>
      </c>
      <c r="P17" s="69"/>
      <c r="Q17" s="69"/>
      <c r="R17" s="71">
        <f>4212.86+1348.25</f>
        <v>5561.11</v>
      </c>
      <c r="S17" s="71">
        <f>4212.86+1348.25</f>
        <v>5561.11</v>
      </c>
      <c r="T17" s="104">
        <f>Q17+R17-S17</f>
        <v>0</v>
      </c>
    </row>
    <row r="18" spans="1:20" s="62" customFormat="1" ht="69.75" customHeight="1">
      <c r="A18" s="137">
        <v>2</v>
      </c>
      <c r="B18" s="106" t="s">
        <v>52</v>
      </c>
      <c r="C18" s="107" t="s">
        <v>34</v>
      </c>
      <c r="D18" s="101">
        <v>2500000</v>
      </c>
      <c r="E18" s="109" t="s">
        <v>36</v>
      </c>
      <c r="F18" s="101">
        <f>O18</f>
        <v>0</v>
      </c>
      <c r="G18" s="72" t="s">
        <v>53</v>
      </c>
      <c r="H18" s="110" t="s">
        <v>54</v>
      </c>
      <c r="I18" s="75" t="s">
        <v>43</v>
      </c>
      <c r="J18" s="101">
        <v>2500000</v>
      </c>
      <c r="K18" s="72" t="s">
        <v>55</v>
      </c>
      <c r="L18" s="73"/>
      <c r="M18" s="72"/>
      <c r="N18" s="134">
        <f>312000+312000+312000+312000+312000+312000+312000+316000</f>
        <v>2500000</v>
      </c>
      <c r="O18" s="134">
        <f>J18+L18-N18</f>
        <v>0</v>
      </c>
      <c r="P18" s="73"/>
      <c r="Q18" s="73"/>
      <c r="R18" s="73">
        <f>11329.23+715.88</f>
        <v>12045.109999999999</v>
      </c>
      <c r="S18" s="73">
        <f>11329.23+715.88</f>
        <v>12045.109999999999</v>
      </c>
      <c r="T18" s="111">
        <f>Q18+R18-S18</f>
        <v>0</v>
      </c>
    </row>
    <row r="19" spans="1:20" s="62" customFormat="1" ht="71.25" customHeight="1">
      <c r="A19" s="137">
        <v>3</v>
      </c>
      <c r="B19" s="106" t="s">
        <v>56</v>
      </c>
      <c r="C19" s="107" t="s">
        <v>34</v>
      </c>
      <c r="D19" s="101">
        <v>12340000</v>
      </c>
      <c r="E19" s="109" t="s">
        <v>36</v>
      </c>
      <c r="F19" s="101">
        <f>O19</f>
        <v>0</v>
      </c>
      <c r="G19" s="72" t="s">
        <v>37</v>
      </c>
      <c r="H19" s="110" t="s">
        <v>54</v>
      </c>
      <c r="I19" s="75" t="s">
        <v>39</v>
      </c>
      <c r="J19" s="101">
        <v>2000000</v>
      </c>
      <c r="K19" s="72" t="s">
        <v>57</v>
      </c>
      <c r="L19" s="73"/>
      <c r="M19" s="72"/>
      <c r="N19" s="134">
        <f>500000+500000+500000+500000</f>
        <v>2000000</v>
      </c>
      <c r="O19" s="134">
        <f>J19+L19-N19</f>
        <v>0</v>
      </c>
      <c r="P19" s="73"/>
      <c r="Q19" s="73"/>
      <c r="R19" s="136">
        <v>454.79</v>
      </c>
      <c r="S19" s="136">
        <v>454.79</v>
      </c>
      <c r="T19" s="111">
        <f>Q19+R19-S19</f>
        <v>0</v>
      </c>
    </row>
    <row r="20" spans="1:20" s="62" customFormat="1" ht="71.25" customHeight="1">
      <c r="A20" s="138">
        <v>4</v>
      </c>
      <c r="B20" s="106" t="s">
        <v>97</v>
      </c>
      <c r="C20" s="107" t="s">
        <v>34</v>
      </c>
      <c r="D20" s="101">
        <v>23118400</v>
      </c>
      <c r="E20" s="109" t="s">
        <v>36</v>
      </c>
      <c r="F20" s="101">
        <f>O20</f>
        <v>23118400</v>
      </c>
      <c r="G20" s="72" t="s">
        <v>98</v>
      </c>
      <c r="H20" s="110" t="s">
        <v>54</v>
      </c>
      <c r="I20" s="75" t="s">
        <v>39</v>
      </c>
      <c r="J20" s="101">
        <v>0</v>
      </c>
      <c r="K20" s="72" t="s">
        <v>99</v>
      </c>
      <c r="L20" s="134">
        <v>23118400</v>
      </c>
      <c r="M20" s="72"/>
      <c r="N20" s="134">
        <v>0</v>
      </c>
      <c r="O20" s="134">
        <v>23118400</v>
      </c>
      <c r="P20" s="73"/>
      <c r="Q20" s="73"/>
      <c r="R20" s="136">
        <v>6840.51</v>
      </c>
      <c r="S20" s="136">
        <v>6840.51</v>
      </c>
      <c r="T20" s="111">
        <f>Q20+R20-S20</f>
        <v>0</v>
      </c>
    </row>
    <row r="21" spans="1:20" s="62" customFormat="1" ht="18.75" customHeight="1">
      <c r="A21" s="112" t="s">
        <v>1</v>
      </c>
      <c r="B21" s="113"/>
      <c r="C21" s="74" t="s">
        <v>7</v>
      </c>
      <c r="D21" s="74" t="s">
        <v>7</v>
      </c>
      <c r="E21" s="74" t="s">
        <v>7</v>
      </c>
      <c r="F21" s="132">
        <f>SUM(F17:F20)</f>
        <v>23118400</v>
      </c>
      <c r="G21" s="74" t="s">
        <v>7</v>
      </c>
      <c r="H21" s="74" t="s">
        <v>7</v>
      </c>
      <c r="I21" s="74" t="s">
        <v>7</v>
      </c>
      <c r="J21" s="132">
        <f>SUM(J17:J20)</f>
        <v>15166000</v>
      </c>
      <c r="K21" s="74" t="s">
        <v>7</v>
      </c>
      <c r="L21" s="132">
        <f>SUM(L17:L20)</f>
        <v>23118400</v>
      </c>
      <c r="M21" s="74" t="s">
        <v>7</v>
      </c>
      <c r="N21" s="132">
        <f>SUM(N17:N20)</f>
        <v>15166000</v>
      </c>
      <c r="O21" s="132">
        <f aca="true" t="shared" si="0" ref="O21:T21">SUM(O17:O20)</f>
        <v>23118400</v>
      </c>
      <c r="P21" s="132">
        <f t="shared" si="0"/>
        <v>0</v>
      </c>
      <c r="Q21" s="132">
        <f t="shared" si="0"/>
        <v>0</v>
      </c>
      <c r="R21" s="132">
        <f t="shared" si="0"/>
        <v>24901.519999999997</v>
      </c>
      <c r="S21" s="132">
        <f t="shared" si="0"/>
        <v>24901.519999999997</v>
      </c>
      <c r="T21" s="132">
        <f t="shared" si="0"/>
        <v>0</v>
      </c>
    </row>
    <row r="22" spans="1:20" s="62" customFormat="1" ht="31.5" customHeight="1">
      <c r="A22" s="166" t="s">
        <v>19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8"/>
    </row>
    <row r="23" spans="1:22" s="62" customFormat="1" ht="81" customHeight="1">
      <c r="A23" s="137">
        <v>1</v>
      </c>
      <c r="B23" s="106" t="s">
        <v>67</v>
      </c>
      <c r="C23" s="107" t="s">
        <v>68</v>
      </c>
      <c r="D23" s="108">
        <v>15000000</v>
      </c>
      <c r="E23" s="109" t="s">
        <v>36</v>
      </c>
      <c r="F23" s="101">
        <f aca="true" t="shared" si="1" ref="F23:F30">O23</f>
        <v>0</v>
      </c>
      <c r="G23" s="72" t="s">
        <v>69</v>
      </c>
      <c r="H23" s="110" t="s">
        <v>54</v>
      </c>
      <c r="I23" s="75">
        <v>9.35</v>
      </c>
      <c r="J23" s="101">
        <v>5000000</v>
      </c>
      <c r="K23" s="72" t="s">
        <v>76</v>
      </c>
      <c r="L23" s="73"/>
      <c r="M23" s="72" t="s">
        <v>94</v>
      </c>
      <c r="N23" s="101">
        <v>5000000</v>
      </c>
      <c r="O23" s="134">
        <f aca="true" t="shared" si="2" ref="O23:O30">J23+L23-N23</f>
        <v>0</v>
      </c>
      <c r="P23" s="75"/>
      <c r="Q23" s="75"/>
      <c r="R23" s="134">
        <f>-1996.62+39705.48+35863.01+12808.22</f>
        <v>86380.09</v>
      </c>
      <c r="S23" s="134">
        <f>39705.48+35863.01-1996.62+12808.22</f>
        <v>86380.09000000001</v>
      </c>
      <c r="T23" s="135">
        <f aca="true" t="shared" si="3" ref="T23:T30">Q23+R23-S23</f>
        <v>0</v>
      </c>
      <c r="U23" s="62">
        <v>1996.62</v>
      </c>
      <c r="V23" s="83" t="s">
        <v>89</v>
      </c>
    </row>
    <row r="24" spans="1:20" s="62" customFormat="1" ht="74.25" customHeight="1">
      <c r="A24" s="137">
        <v>2</v>
      </c>
      <c r="B24" s="106" t="s">
        <v>74</v>
      </c>
      <c r="C24" s="107" t="s">
        <v>58</v>
      </c>
      <c r="D24" s="108">
        <v>5600000</v>
      </c>
      <c r="E24" s="109" t="s">
        <v>36</v>
      </c>
      <c r="F24" s="101">
        <f t="shared" si="1"/>
        <v>0</v>
      </c>
      <c r="G24" s="72" t="s">
        <v>62</v>
      </c>
      <c r="H24" s="110" t="s">
        <v>54</v>
      </c>
      <c r="I24" s="75">
        <v>9.4</v>
      </c>
      <c r="J24" s="101">
        <v>5600000</v>
      </c>
      <c r="K24" s="72" t="s">
        <v>75</v>
      </c>
      <c r="L24" s="73"/>
      <c r="M24" s="72" t="s">
        <v>94</v>
      </c>
      <c r="N24" s="101">
        <v>5600000</v>
      </c>
      <c r="O24" s="134">
        <f t="shared" si="2"/>
        <v>0</v>
      </c>
      <c r="P24" s="75"/>
      <c r="Q24" s="75"/>
      <c r="R24" s="134">
        <f>44707.95+14421.91+40381.37</f>
        <v>99511.23000000001</v>
      </c>
      <c r="S24" s="134">
        <f>44707.95+14421.91+40381.37</f>
        <v>99511.23000000001</v>
      </c>
      <c r="T24" s="135">
        <f t="shared" si="3"/>
        <v>0</v>
      </c>
    </row>
    <row r="25" spans="1:20" s="62" customFormat="1" ht="70.5" customHeight="1">
      <c r="A25" s="137">
        <v>3</v>
      </c>
      <c r="B25" s="106" t="s">
        <v>77</v>
      </c>
      <c r="C25" s="107" t="s">
        <v>68</v>
      </c>
      <c r="D25" s="108">
        <v>10000000</v>
      </c>
      <c r="E25" s="109" t="s">
        <v>36</v>
      </c>
      <c r="F25" s="101">
        <f t="shared" si="1"/>
        <v>0</v>
      </c>
      <c r="G25" s="72" t="s">
        <v>78</v>
      </c>
      <c r="H25" s="110" t="s">
        <v>54</v>
      </c>
      <c r="I25" s="75">
        <v>6.97</v>
      </c>
      <c r="J25" s="101">
        <v>10000000</v>
      </c>
      <c r="K25" s="114">
        <v>43886</v>
      </c>
      <c r="L25" s="73"/>
      <c r="M25" s="72" t="s">
        <v>99</v>
      </c>
      <c r="N25" s="101">
        <v>10000000</v>
      </c>
      <c r="O25" s="134">
        <f t="shared" si="2"/>
        <v>0</v>
      </c>
      <c r="P25" s="75"/>
      <c r="Q25" s="75"/>
      <c r="R25" s="134">
        <f>59162.14+53436.77+59162.14+57253.68+59162.14+57253.68+59162.14+59162.14+28626.84</f>
        <v>492381.67000000004</v>
      </c>
      <c r="S25" s="134">
        <f>59162.14+53436.77+59162.14+57253.68+59162.14+57253.68+59162.14+59162.14+28626.84</f>
        <v>492381.67000000004</v>
      </c>
      <c r="T25" s="135">
        <f t="shared" si="3"/>
        <v>0</v>
      </c>
    </row>
    <row r="26" spans="1:20" s="62" customFormat="1" ht="71.25" customHeight="1">
      <c r="A26" s="137">
        <v>4</v>
      </c>
      <c r="B26" s="106" t="s">
        <v>79</v>
      </c>
      <c r="C26" s="107" t="s">
        <v>58</v>
      </c>
      <c r="D26" s="108">
        <v>10000000</v>
      </c>
      <c r="E26" s="109" t="s">
        <v>36</v>
      </c>
      <c r="F26" s="101">
        <f t="shared" si="1"/>
        <v>0</v>
      </c>
      <c r="G26" s="114">
        <v>44660</v>
      </c>
      <c r="H26" s="110" t="s">
        <v>54</v>
      </c>
      <c r="I26" s="75">
        <v>7.2</v>
      </c>
      <c r="J26" s="101">
        <v>10000000</v>
      </c>
      <c r="K26" s="114">
        <v>43930</v>
      </c>
      <c r="L26" s="73"/>
      <c r="M26" s="72" t="s">
        <v>99</v>
      </c>
      <c r="N26" s="101">
        <v>10000000</v>
      </c>
      <c r="O26" s="134">
        <f t="shared" si="2"/>
        <v>0</v>
      </c>
      <c r="P26" s="75"/>
      <c r="Q26" s="75"/>
      <c r="R26" s="134">
        <f>61150.68+55232.88+61150.69+59178.08+61150.68+59178.09+61150.68+29589.04+61150.69</f>
        <v>508931.50999999995</v>
      </c>
      <c r="S26" s="134">
        <f>61150.68+55232.88+61150.69+59178.08+61150.68+59178.09+61150.68+29589.04+61150.69</f>
        <v>508931.50999999995</v>
      </c>
      <c r="T26" s="135">
        <f t="shared" si="3"/>
        <v>0</v>
      </c>
    </row>
    <row r="27" spans="1:20" s="62" customFormat="1" ht="71.25" customHeight="1">
      <c r="A27" s="138">
        <v>5</v>
      </c>
      <c r="B27" s="106" t="s">
        <v>81</v>
      </c>
      <c r="C27" s="107" t="s">
        <v>82</v>
      </c>
      <c r="D27" s="108">
        <v>26000000</v>
      </c>
      <c r="E27" s="109" t="s">
        <v>36</v>
      </c>
      <c r="F27" s="101">
        <f t="shared" si="1"/>
        <v>20181600</v>
      </c>
      <c r="G27" s="72" t="s">
        <v>83</v>
      </c>
      <c r="H27" s="110" t="s">
        <v>54</v>
      </c>
      <c r="I27" s="75">
        <v>7.24</v>
      </c>
      <c r="J27" s="101">
        <v>26000000</v>
      </c>
      <c r="K27" s="114" t="s">
        <v>84</v>
      </c>
      <c r="L27" s="73"/>
      <c r="M27" s="72"/>
      <c r="N27" s="101">
        <f>3118400+2700000</f>
        <v>5818400</v>
      </c>
      <c r="O27" s="134">
        <f t="shared" si="2"/>
        <v>20181600</v>
      </c>
      <c r="P27" s="75"/>
      <c r="Q27" s="75"/>
      <c r="R27" s="134">
        <f>159941.31+144463.13+159941.31+154781.92+159941.31+154781.92+159941.32+159941.31+145499.77+140758.2+136217.61+140758.2</f>
        <v>1816967.3099999998</v>
      </c>
      <c r="S27" s="134">
        <f>159941.31+144463.13+159941.31+154781.92+159941.31+154781.92+159941.32+159941.31+145499.77+140758.2+136217.61+140758.2</f>
        <v>1816967.3099999998</v>
      </c>
      <c r="T27" s="134">
        <f t="shared" si="3"/>
        <v>0</v>
      </c>
    </row>
    <row r="28" spans="1:20" s="62" customFormat="1" ht="67.5" customHeight="1">
      <c r="A28" s="138">
        <v>6</v>
      </c>
      <c r="B28" s="106" t="s">
        <v>85</v>
      </c>
      <c r="C28" s="107" t="s">
        <v>58</v>
      </c>
      <c r="D28" s="108">
        <v>17900000</v>
      </c>
      <c r="E28" s="109" t="s">
        <v>36</v>
      </c>
      <c r="F28" s="101">
        <f t="shared" si="1"/>
        <v>17900000</v>
      </c>
      <c r="G28" s="72" t="s">
        <v>86</v>
      </c>
      <c r="H28" s="110" t="s">
        <v>54</v>
      </c>
      <c r="I28" s="75">
        <v>6.42</v>
      </c>
      <c r="J28" s="101">
        <v>17900000</v>
      </c>
      <c r="K28" s="114" t="s">
        <v>87</v>
      </c>
      <c r="L28" s="73"/>
      <c r="M28" s="72"/>
      <c r="N28" s="101"/>
      <c r="O28" s="134">
        <f t="shared" si="2"/>
        <v>17900000</v>
      </c>
      <c r="P28" s="75"/>
      <c r="Q28" s="75"/>
      <c r="R28" s="134">
        <f>97620.07+88172.96+97620.07+94471.03+97620.07+94471.03+97620.07+97620.07+94471.03+97620.07+94471.03+97620.07</f>
        <v>1149397.5700000003</v>
      </c>
      <c r="S28" s="134">
        <f>97620.07+88172.96+97620.07+94471.03+97620.07+94471.03+97620.07+97620.07+94471.03+97620.07+94471.03+97620.07</f>
        <v>1149397.5700000003</v>
      </c>
      <c r="T28" s="134">
        <f t="shared" si="3"/>
        <v>0</v>
      </c>
    </row>
    <row r="29" spans="1:20" s="62" customFormat="1" ht="76.5" customHeight="1">
      <c r="A29" s="138">
        <v>7</v>
      </c>
      <c r="B29" s="106" t="s">
        <v>90</v>
      </c>
      <c r="C29" s="107" t="s">
        <v>91</v>
      </c>
      <c r="D29" s="108">
        <v>20000000</v>
      </c>
      <c r="E29" s="109" t="s">
        <v>36</v>
      </c>
      <c r="F29" s="101">
        <f t="shared" si="1"/>
        <v>20000000</v>
      </c>
      <c r="G29" s="72" t="s">
        <v>92</v>
      </c>
      <c r="H29" s="110" t="s">
        <v>54</v>
      </c>
      <c r="I29" s="75">
        <v>6.4</v>
      </c>
      <c r="J29" s="101">
        <v>0</v>
      </c>
      <c r="K29" s="114" t="s">
        <v>93</v>
      </c>
      <c r="L29" s="101">
        <v>20000000</v>
      </c>
      <c r="M29" s="72"/>
      <c r="N29" s="101"/>
      <c r="O29" s="134">
        <f t="shared" si="2"/>
        <v>20000000</v>
      </c>
      <c r="P29" s="75"/>
      <c r="Q29" s="75"/>
      <c r="R29" s="134">
        <f>69120+105205.48+108712.33+105205.48+108712.33+108712.33+105205.48+108712.33+105205.48+108712.33</f>
        <v>1033503.5699999998</v>
      </c>
      <c r="S29" s="134">
        <f>69120+105205.48+108712.33+105205.48+108712.33+108712.33+105205.48+108712.33+105205.48+108712.33</f>
        <v>1033503.5699999998</v>
      </c>
      <c r="T29" s="134">
        <f t="shared" si="3"/>
        <v>0</v>
      </c>
    </row>
    <row r="30" spans="1:20" s="62" customFormat="1" ht="72" customHeight="1">
      <c r="A30" s="138">
        <v>8</v>
      </c>
      <c r="B30" s="106" t="s">
        <v>95</v>
      </c>
      <c r="C30" s="107" t="s">
        <v>68</v>
      </c>
      <c r="D30" s="108">
        <v>19131000</v>
      </c>
      <c r="E30" s="109" t="s">
        <v>36</v>
      </c>
      <c r="F30" s="101">
        <f t="shared" si="1"/>
        <v>19131000</v>
      </c>
      <c r="G30" s="72" t="s">
        <v>96</v>
      </c>
      <c r="H30" s="110" t="s">
        <v>54</v>
      </c>
      <c r="I30" s="75">
        <v>7.68</v>
      </c>
      <c r="J30" s="101">
        <v>0</v>
      </c>
      <c r="K30" s="72" t="s">
        <v>96</v>
      </c>
      <c r="L30" s="101">
        <v>19131000</v>
      </c>
      <c r="M30" s="72"/>
      <c r="N30" s="101"/>
      <c r="O30" s="134">
        <f t="shared" si="2"/>
        <v>19131000</v>
      </c>
      <c r="P30" s="75"/>
      <c r="Q30" s="75"/>
      <c r="R30" s="134">
        <f>8050.74+124786.53+124786.53+120761.16+124786.53+120761.16+124786.53</f>
        <v>748719.18</v>
      </c>
      <c r="S30" s="134">
        <f>8050.74+124786.53+124786.53+120761.16+124786.53+120761.16+124786.53</f>
        <v>748719.18</v>
      </c>
      <c r="T30" s="134">
        <f t="shared" si="3"/>
        <v>0</v>
      </c>
    </row>
    <row r="31" spans="1:20" s="62" customFormat="1" ht="18.75" customHeight="1">
      <c r="A31" s="112" t="s">
        <v>1</v>
      </c>
      <c r="B31" s="113"/>
      <c r="C31" s="74" t="s">
        <v>7</v>
      </c>
      <c r="D31" s="74" t="s">
        <v>7</v>
      </c>
      <c r="E31" s="74" t="s">
        <v>7</v>
      </c>
      <c r="F31" s="132">
        <f>F23+F24+F25+F26+F27+F28+F29+F30</f>
        <v>77212600</v>
      </c>
      <c r="G31" s="74" t="s">
        <v>7</v>
      </c>
      <c r="H31" s="74" t="s">
        <v>7</v>
      </c>
      <c r="I31" s="74" t="s">
        <v>7</v>
      </c>
      <c r="J31" s="132">
        <f>J23+J24+J25+J26+J27+J28+J29+J30</f>
        <v>74500000</v>
      </c>
      <c r="K31" s="132" t="s">
        <v>7</v>
      </c>
      <c r="L31" s="132">
        <f>L23+L24+L25+L26+L27+L28+L29+L30</f>
        <v>39131000</v>
      </c>
      <c r="M31" s="132" t="s">
        <v>7</v>
      </c>
      <c r="N31" s="132">
        <f>N23+N24+N25+N26+N27+N28+N29+N30</f>
        <v>36418400</v>
      </c>
      <c r="O31" s="132">
        <f aca="true" t="shared" si="4" ref="O31:T31">O23+O24+O25+O26+O27+O28+O29+O30</f>
        <v>77212600</v>
      </c>
      <c r="P31" s="132">
        <f t="shared" si="4"/>
        <v>0</v>
      </c>
      <c r="Q31" s="132">
        <f t="shared" si="4"/>
        <v>0</v>
      </c>
      <c r="R31" s="132">
        <f t="shared" si="4"/>
        <v>5935792.129999999</v>
      </c>
      <c r="S31" s="132">
        <f t="shared" si="4"/>
        <v>5935792.129999999</v>
      </c>
      <c r="T31" s="132">
        <f t="shared" si="4"/>
        <v>0</v>
      </c>
    </row>
    <row r="32" spans="1:20" s="62" customFormat="1" ht="18.75" customHeight="1">
      <c r="A32" s="166" t="s">
        <v>20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8"/>
    </row>
    <row r="33" spans="1:20" s="62" customFormat="1" ht="2.25" customHeight="1">
      <c r="A33" s="105"/>
      <c r="B33" s="113"/>
      <c r="C33" s="115"/>
      <c r="D33" s="74"/>
      <c r="E33" s="116"/>
      <c r="F33" s="116"/>
      <c r="G33" s="117"/>
      <c r="H33" s="118"/>
      <c r="I33" s="73"/>
      <c r="J33" s="119"/>
      <c r="K33" s="73"/>
      <c r="L33" s="73"/>
      <c r="M33" s="73"/>
      <c r="N33" s="120"/>
      <c r="O33" s="73"/>
      <c r="P33" s="73"/>
      <c r="Q33" s="73"/>
      <c r="R33" s="73"/>
      <c r="S33" s="73"/>
      <c r="T33" s="111"/>
    </row>
    <row r="34" spans="1:20" s="62" customFormat="1" ht="18.75" customHeight="1">
      <c r="A34" s="112" t="s">
        <v>1</v>
      </c>
      <c r="B34" s="113"/>
      <c r="C34" s="74" t="s">
        <v>7</v>
      </c>
      <c r="D34" s="74" t="s">
        <v>7</v>
      </c>
      <c r="E34" s="74" t="s">
        <v>7</v>
      </c>
      <c r="F34" s="74"/>
      <c r="G34" s="74" t="s">
        <v>7</v>
      </c>
      <c r="H34" s="74" t="s">
        <v>7</v>
      </c>
      <c r="I34" s="74" t="s">
        <v>7</v>
      </c>
      <c r="J34" s="119"/>
      <c r="K34" s="74" t="s">
        <v>7</v>
      </c>
      <c r="L34" s="73"/>
      <c r="M34" s="74" t="s">
        <v>7</v>
      </c>
      <c r="N34" s="120"/>
      <c r="O34" s="73"/>
      <c r="P34" s="73"/>
      <c r="Q34" s="73"/>
      <c r="R34" s="73"/>
      <c r="S34" s="73"/>
      <c r="T34" s="111"/>
    </row>
    <row r="35" spans="1:20" s="62" customFormat="1" ht="22.5" customHeight="1">
      <c r="A35" s="166" t="s">
        <v>27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8"/>
    </row>
    <row r="36" spans="1:20" s="62" customFormat="1" ht="3" customHeight="1" hidden="1">
      <c r="A36" s="105"/>
      <c r="B36" s="113"/>
      <c r="C36" s="115"/>
      <c r="D36" s="74"/>
      <c r="E36" s="116"/>
      <c r="F36" s="116"/>
      <c r="G36" s="117"/>
      <c r="H36" s="118"/>
      <c r="I36" s="73"/>
      <c r="J36" s="119"/>
      <c r="K36" s="73"/>
      <c r="L36" s="73"/>
      <c r="M36" s="73"/>
      <c r="N36" s="120"/>
      <c r="O36" s="73"/>
      <c r="P36" s="73"/>
      <c r="Q36" s="73"/>
      <c r="R36" s="73"/>
      <c r="S36" s="73"/>
      <c r="T36" s="111"/>
    </row>
    <row r="37" spans="1:20" s="62" customFormat="1" ht="18.75" customHeight="1">
      <c r="A37" s="112" t="s">
        <v>1</v>
      </c>
      <c r="B37" s="113"/>
      <c r="C37" s="74" t="s">
        <v>7</v>
      </c>
      <c r="D37" s="74" t="s">
        <v>7</v>
      </c>
      <c r="E37" s="74"/>
      <c r="F37" s="74"/>
      <c r="G37" s="74" t="s">
        <v>7</v>
      </c>
      <c r="H37" s="74" t="s">
        <v>7</v>
      </c>
      <c r="I37" s="74" t="s">
        <v>7</v>
      </c>
      <c r="J37" s="119"/>
      <c r="K37" s="74" t="s">
        <v>7</v>
      </c>
      <c r="L37" s="73"/>
      <c r="M37" s="74" t="s">
        <v>7</v>
      </c>
      <c r="N37" s="120"/>
      <c r="O37" s="73"/>
      <c r="P37" s="73"/>
      <c r="Q37" s="73"/>
      <c r="R37" s="73"/>
      <c r="S37" s="73"/>
      <c r="T37" s="111"/>
    </row>
    <row r="38" spans="1:20" s="62" customFormat="1" ht="18.75" customHeight="1">
      <c r="A38" s="169" t="s">
        <v>31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1"/>
    </row>
    <row r="39" spans="1:20" s="122" customFormat="1" ht="21.75" customHeight="1">
      <c r="A39" s="121"/>
      <c r="B39" s="121"/>
      <c r="C39" s="74" t="s">
        <v>7</v>
      </c>
      <c r="D39" s="74" t="s">
        <v>7</v>
      </c>
      <c r="E39" s="74" t="s">
        <v>7</v>
      </c>
      <c r="F39" s="132">
        <f>F21+F31</f>
        <v>100331000</v>
      </c>
      <c r="G39" s="74" t="s">
        <v>7</v>
      </c>
      <c r="H39" s="74" t="s">
        <v>7</v>
      </c>
      <c r="I39" s="74" t="s">
        <v>7</v>
      </c>
      <c r="J39" s="132">
        <f>J21+J31</f>
        <v>89666000</v>
      </c>
      <c r="K39" s="132" t="s">
        <v>7</v>
      </c>
      <c r="L39" s="132">
        <f>L21+L31</f>
        <v>62249400</v>
      </c>
      <c r="M39" s="132" t="s">
        <v>7</v>
      </c>
      <c r="N39" s="132">
        <f aca="true" t="shared" si="5" ref="N39:T39">N21+N31</f>
        <v>51584400</v>
      </c>
      <c r="O39" s="132">
        <f t="shared" si="5"/>
        <v>100331000</v>
      </c>
      <c r="P39" s="132">
        <f t="shared" si="5"/>
        <v>0</v>
      </c>
      <c r="Q39" s="132">
        <f t="shared" si="5"/>
        <v>0</v>
      </c>
      <c r="R39" s="132">
        <f t="shared" si="5"/>
        <v>5960693.6499999985</v>
      </c>
      <c r="S39" s="132">
        <f t="shared" si="5"/>
        <v>5960693.6499999985</v>
      </c>
      <c r="T39" s="132">
        <f t="shared" si="5"/>
        <v>0</v>
      </c>
    </row>
    <row r="40" spans="1:20" ht="10.5" customHeight="1">
      <c r="A40" s="123"/>
      <c r="B40" s="124"/>
      <c r="C40" s="124"/>
      <c r="D40" s="125"/>
      <c r="E40" s="125"/>
      <c r="F40" s="125"/>
      <c r="G40" s="126"/>
      <c r="H40" s="126"/>
      <c r="I40" s="70"/>
      <c r="J40" s="70"/>
      <c r="K40" s="67"/>
      <c r="L40" s="67"/>
      <c r="M40" s="67"/>
      <c r="N40" s="67"/>
      <c r="O40" s="70"/>
      <c r="P40" s="70"/>
      <c r="Q40" s="70"/>
      <c r="R40" s="70"/>
      <c r="S40" s="70"/>
      <c r="T40" s="70"/>
    </row>
    <row r="41" spans="1:11" ht="20.25" customHeight="1">
      <c r="A41" s="127" t="s">
        <v>109</v>
      </c>
      <c r="B41" s="128"/>
      <c r="C41" s="128"/>
      <c r="D41" s="129"/>
      <c r="E41" s="129"/>
      <c r="F41" s="129"/>
      <c r="G41" s="130"/>
      <c r="H41" s="130"/>
      <c r="I41" s="61" t="s">
        <v>108</v>
      </c>
      <c r="J41" s="127"/>
      <c r="K41" s="127"/>
    </row>
    <row r="43" spans="1:11" ht="14.25" customHeight="1">
      <c r="A43" s="127" t="s">
        <v>70</v>
      </c>
      <c r="B43" s="128"/>
      <c r="C43" s="128"/>
      <c r="D43" s="129"/>
      <c r="E43" s="129"/>
      <c r="F43" s="129"/>
      <c r="G43" s="130"/>
      <c r="H43" s="130"/>
      <c r="J43" s="127"/>
      <c r="K43" s="127"/>
    </row>
    <row r="45" spans="1:11" ht="14.25" customHeight="1">
      <c r="A45" s="127" t="s">
        <v>71</v>
      </c>
      <c r="B45" s="128"/>
      <c r="C45" s="128"/>
      <c r="D45" s="129"/>
      <c r="E45" s="129"/>
      <c r="F45" s="129"/>
      <c r="G45" s="158" t="s">
        <v>73</v>
      </c>
      <c r="H45" s="159"/>
      <c r="J45" s="127"/>
      <c r="K45" s="127"/>
    </row>
    <row r="46" ht="12" customHeight="1"/>
    <row r="47" ht="12.75" hidden="1"/>
    <row r="48" ht="11.25" customHeight="1">
      <c r="A48" s="61" t="s">
        <v>21</v>
      </c>
    </row>
    <row r="49" spans="1:11" ht="12.75">
      <c r="A49" s="127"/>
      <c r="B49" s="128"/>
      <c r="C49" s="128"/>
      <c r="D49" s="129"/>
      <c r="E49" s="129"/>
      <c r="F49" s="129"/>
      <c r="G49" s="130"/>
      <c r="H49" s="130"/>
      <c r="J49" s="127"/>
      <c r="K49" s="127"/>
    </row>
    <row r="60" spans="1:22" s="77" customFormat="1" ht="16.5" customHeight="1">
      <c r="A60" s="61"/>
      <c r="D60" s="78"/>
      <c r="E60" s="78"/>
      <c r="F60" s="78"/>
      <c r="G60" s="79"/>
      <c r="H60" s="79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s="77" customFormat="1" ht="30" customHeight="1">
      <c r="A61" s="61"/>
      <c r="B61" s="131"/>
      <c r="D61" s="78"/>
      <c r="E61" s="78"/>
      <c r="F61" s="78"/>
      <c r="G61" s="79"/>
      <c r="H61" s="79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45:H45"/>
    <mergeCell ref="A13:T13"/>
    <mergeCell ref="A16:T16"/>
    <mergeCell ref="A22:T22"/>
    <mergeCell ref="A32:T32"/>
    <mergeCell ref="A35:T35"/>
    <mergeCell ref="A38:T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  <rowBreaks count="1" manualBreakCount="1">
    <brk id="2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ySplit="3270" topLeftCell="A24" activePane="bottomLeft" state="split"/>
      <selection pane="topLeft" activeCell="O10" sqref="O10:P10"/>
      <selection pane="bottomLeft" activeCell="I39" sqref="I39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103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104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106</v>
      </c>
      <c r="P10" s="175"/>
      <c r="Q10" s="172" t="s">
        <v>15</v>
      </c>
      <c r="R10" s="172" t="s">
        <v>16</v>
      </c>
      <c r="S10" s="172" t="s">
        <v>8</v>
      </c>
      <c r="T10" s="172" t="s">
        <v>105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6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v>123613.13</v>
      </c>
      <c r="S20" s="134">
        <v>123613.13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v>97620.06</v>
      </c>
      <c r="S21" s="134">
        <v>97620.06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v>108712.33</v>
      </c>
      <c r="S22" s="134">
        <v>108712.33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v>124786.53</v>
      </c>
      <c r="S23" s="134">
        <v>124786.53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454732.05000000005</v>
      </c>
      <c r="S24" s="132">
        <f t="shared" si="1"/>
        <v>454732.05000000005</v>
      </c>
      <c r="T24" s="132">
        <f t="shared" si="1"/>
        <v>0</v>
      </c>
    </row>
    <row r="25" spans="1:20" s="62" customFormat="1" ht="18.75" customHeight="1">
      <c r="A25" s="166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6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454732.05000000005</v>
      </c>
      <c r="S32" s="132">
        <f t="shared" si="2"/>
        <v>454732.05000000005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58" t="s">
        <v>73</v>
      </c>
      <c r="H38" s="15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zoomScalePageLayoutView="0" workbookViewId="0" topLeftCell="A7">
      <pane xSplit="15165" ySplit="3270" topLeftCell="Q23" activePane="bottomRight" state="split"/>
      <selection pane="topLeft" activeCell="K10" sqref="K10:K11"/>
      <selection pane="topRight" activeCell="L7" sqref="L7"/>
      <selection pane="bottomLeft" activeCell="A19" sqref="A19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110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104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111</v>
      </c>
      <c r="P10" s="175"/>
      <c r="Q10" s="172" t="s">
        <v>15</v>
      </c>
      <c r="R10" s="172" t="s">
        <v>16</v>
      </c>
      <c r="S10" s="172" t="s">
        <v>8</v>
      </c>
      <c r="T10" s="172" t="s">
        <v>112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6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</f>
        <v>235747.62</v>
      </c>
      <c r="S20" s="134">
        <f>123613.13+112134.49</f>
        <v>235747.62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</f>
        <v>185793.03</v>
      </c>
      <c r="S21" s="134">
        <f>97620.06+88172.97</f>
        <v>185793.03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</f>
        <v>206904.11</v>
      </c>
      <c r="S22" s="134">
        <f>108712.33+98191.78</f>
        <v>206904.11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</f>
        <v>237496.95</v>
      </c>
      <c r="S23" s="134">
        <f>124786.53+112710.42</f>
        <v>237496.95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865941.71</v>
      </c>
      <c r="S24" s="132">
        <f t="shared" si="1"/>
        <v>865941.71</v>
      </c>
      <c r="T24" s="132">
        <f t="shared" si="1"/>
        <v>0</v>
      </c>
    </row>
    <row r="25" spans="1:20" s="62" customFormat="1" ht="18.75" customHeight="1">
      <c r="A25" s="166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6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865941.71</v>
      </c>
      <c r="S32" s="132">
        <f t="shared" si="2"/>
        <v>865941.71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58" t="s">
        <v>73</v>
      </c>
      <c r="H38" s="15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G38:H38"/>
    <mergeCell ref="A13:T13"/>
    <mergeCell ref="A16:T16"/>
    <mergeCell ref="A19:T19"/>
    <mergeCell ref="A25:T25"/>
    <mergeCell ref="A28:T28"/>
    <mergeCell ref="A31:T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PageLayoutView="0" workbookViewId="0" topLeftCell="A7">
      <pane xSplit="15165" ySplit="3270" topLeftCell="Q19" activePane="bottomRight" state="split"/>
      <selection pane="topLeft" activeCell="K10" sqref="K10:K11"/>
      <selection pane="topRight" activeCell="L7" sqref="L7"/>
      <selection pane="bottomLeft" activeCell="B22" sqref="B22"/>
      <selection pane="bottomRight" activeCell="R23" sqref="R23"/>
    </sheetView>
  </sheetViews>
  <sheetFormatPr defaultColWidth="9.00390625" defaultRowHeight="12.75"/>
  <cols>
    <col min="1" max="1" width="4.25390625" style="61" customWidth="1"/>
    <col min="2" max="2" width="15.625" style="77" customWidth="1"/>
    <col min="3" max="3" width="12.75390625" style="77" customWidth="1"/>
    <col min="4" max="4" width="13.375" style="78" customWidth="1"/>
    <col min="5" max="5" width="12.00390625" style="78" customWidth="1"/>
    <col min="6" max="6" width="13.375" style="78" customWidth="1"/>
    <col min="7" max="7" width="11.375" style="79" customWidth="1"/>
    <col min="8" max="8" width="15.125" style="79" customWidth="1"/>
    <col min="9" max="10" width="14.625" style="61" customWidth="1"/>
    <col min="11" max="11" width="12.25390625" style="61" customWidth="1"/>
    <col min="12" max="12" width="14.625" style="61" customWidth="1"/>
    <col min="13" max="13" width="12.125" style="61" customWidth="1"/>
    <col min="14" max="14" width="15.125" style="61" customWidth="1"/>
    <col min="15" max="15" width="13.75390625" style="61" customWidth="1"/>
    <col min="16" max="16" width="8.00390625" style="61" customWidth="1"/>
    <col min="17" max="17" width="13.375" style="61" customWidth="1"/>
    <col min="18" max="18" width="14.125" style="61" customWidth="1"/>
    <col min="19" max="19" width="12.875" style="61" customWidth="1"/>
    <col min="20" max="20" width="12.125" style="61" customWidth="1"/>
    <col min="21" max="22" width="0" style="61" hidden="1" customWidth="1"/>
    <col min="23" max="16384" width="9.125" style="61" customWidth="1"/>
  </cols>
  <sheetData>
    <row r="1" spans="19:20" ht="12.75">
      <c r="S1" s="176" t="s">
        <v>80</v>
      </c>
      <c r="T1" s="176"/>
    </row>
    <row r="2" spans="19:20" ht="26.25" customHeight="1">
      <c r="S2" s="176"/>
      <c r="T2" s="176"/>
    </row>
    <row r="3" spans="1:20" ht="21.75" customHeight="1">
      <c r="A3" s="177" t="s">
        <v>113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2:20" ht="15">
      <c r="B4" s="80"/>
      <c r="C4" s="80"/>
      <c r="D4" s="80"/>
      <c r="E4" s="80"/>
      <c r="F4" s="80"/>
      <c r="G4" s="80"/>
      <c r="H4" s="8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4:20" ht="11.25" customHeight="1">
      <c r="D5" s="77"/>
      <c r="E5" s="77"/>
      <c r="F5" s="77"/>
      <c r="G5" s="81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82" t="s">
        <v>2</v>
      </c>
    </row>
    <row r="6" spans="7:8" ht="3" customHeight="1">
      <c r="G6" s="83"/>
      <c r="H6" s="83"/>
    </row>
    <row r="7" spans="7:16" ht="7.5" customHeight="1">
      <c r="G7" s="178"/>
      <c r="H7" s="178"/>
      <c r="I7" s="178"/>
      <c r="J7" s="178"/>
      <c r="K7" s="178"/>
      <c r="L7" s="178"/>
      <c r="M7" s="178"/>
      <c r="N7" s="178"/>
      <c r="O7" s="84"/>
      <c r="P7" s="84"/>
    </row>
    <row r="8" ht="5.25" customHeight="1"/>
    <row r="9" ht="15" customHeight="1"/>
    <row r="10" spans="1:20" ht="52.5" customHeight="1">
      <c r="A10" s="179" t="s">
        <v>0</v>
      </c>
      <c r="B10" s="172" t="s">
        <v>13</v>
      </c>
      <c r="C10" s="172" t="s">
        <v>3</v>
      </c>
      <c r="D10" s="172" t="s">
        <v>9</v>
      </c>
      <c r="E10" s="172" t="s">
        <v>14</v>
      </c>
      <c r="F10" s="172" t="s">
        <v>11</v>
      </c>
      <c r="G10" s="172" t="s">
        <v>10</v>
      </c>
      <c r="H10" s="172" t="s">
        <v>6</v>
      </c>
      <c r="I10" s="172" t="s">
        <v>12</v>
      </c>
      <c r="J10" s="172" t="s">
        <v>104</v>
      </c>
      <c r="K10" s="172" t="s">
        <v>23</v>
      </c>
      <c r="L10" s="172" t="s">
        <v>24</v>
      </c>
      <c r="M10" s="172" t="s">
        <v>25</v>
      </c>
      <c r="N10" s="172" t="s">
        <v>26</v>
      </c>
      <c r="O10" s="174" t="s">
        <v>115</v>
      </c>
      <c r="P10" s="175"/>
      <c r="Q10" s="172" t="s">
        <v>15</v>
      </c>
      <c r="R10" s="172" t="s">
        <v>16</v>
      </c>
      <c r="S10" s="172" t="s">
        <v>8</v>
      </c>
      <c r="T10" s="172" t="s">
        <v>114</v>
      </c>
    </row>
    <row r="11" spans="1:20" s="86" customFormat="1" ht="94.5" customHeight="1">
      <c r="A11" s="179"/>
      <c r="B11" s="173"/>
      <c r="C11" s="173"/>
      <c r="D11" s="173"/>
      <c r="E11" s="180"/>
      <c r="F11" s="180"/>
      <c r="G11" s="173"/>
      <c r="H11" s="173"/>
      <c r="I11" s="173"/>
      <c r="J11" s="173"/>
      <c r="K11" s="173"/>
      <c r="L11" s="173"/>
      <c r="M11" s="173"/>
      <c r="N11" s="173"/>
      <c r="O11" s="76" t="s">
        <v>4</v>
      </c>
      <c r="P11" s="76" t="s">
        <v>5</v>
      </c>
      <c r="Q11" s="173"/>
      <c r="R11" s="173"/>
      <c r="S11" s="173"/>
      <c r="T11" s="173"/>
    </row>
    <row r="12" spans="1:20" s="88" customFormat="1" ht="10.5" customHeight="1">
      <c r="A12" s="87">
        <v>1</v>
      </c>
      <c r="B12" s="85">
        <v>2</v>
      </c>
      <c r="C12" s="64">
        <v>3</v>
      </c>
      <c r="D12" s="85">
        <v>4</v>
      </c>
      <c r="E12" s="64">
        <v>5</v>
      </c>
      <c r="F12" s="64">
        <v>6</v>
      </c>
      <c r="G12" s="64">
        <v>7</v>
      </c>
      <c r="H12" s="85">
        <v>8</v>
      </c>
      <c r="I12" s="64">
        <v>9</v>
      </c>
      <c r="J12" s="64">
        <v>10</v>
      </c>
      <c r="K12" s="64">
        <v>11</v>
      </c>
      <c r="L12" s="85">
        <v>12</v>
      </c>
      <c r="M12" s="64">
        <v>13</v>
      </c>
      <c r="N12" s="64">
        <v>14</v>
      </c>
      <c r="O12" s="64">
        <v>15</v>
      </c>
      <c r="P12" s="85">
        <v>16</v>
      </c>
      <c r="Q12" s="64">
        <v>17</v>
      </c>
      <c r="R12" s="64">
        <v>18</v>
      </c>
      <c r="S12" s="64">
        <v>19</v>
      </c>
      <c r="T12" s="85">
        <v>20</v>
      </c>
    </row>
    <row r="13" spans="1:20" s="62" customFormat="1" ht="25.5" customHeight="1">
      <c r="A13" s="160" t="s">
        <v>17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2"/>
    </row>
    <row r="14" spans="1:20" s="62" customFormat="1" ht="4.5" customHeight="1">
      <c r="A14" s="89"/>
      <c r="B14" s="90"/>
      <c r="C14" s="91"/>
      <c r="D14" s="92"/>
      <c r="E14" s="93"/>
      <c r="F14" s="93"/>
      <c r="G14" s="94"/>
      <c r="H14" s="95"/>
      <c r="I14" s="68"/>
      <c r="J14" s="96"/>
      <c r="K14" s="68"/>
      <c r="L14" s="68"/>
      <c r="M14" s="68"/>
      <c r="N14" s="65"/>
      <c r="O14" s="68"/>
      <c r="P14" s="68"/>
      <c r="Q14" s="68"/>
      <c r="R14" s="68"/>
      <c r="S14" s="68"/>
      <c r="T14" s="97"/>
    </row>
    <row r="15" spans="1:20" s="62" customFormat="1" ht="9" customHeight="1">
      <c r="A15" s="98" t="s">
        <v>1</v>
      </c>
      <c r="B15" s="90"/>
      <c r="C15" s="92" t="s">
        <v>7</v>
      </c>
      <c r="D15" s="92" t="s">
        <v>7</v>
      </c>
      <c r="E15" s="92" t="s">
        <v>7</v>
      </c>
      <c r="F15" s="92"/>
      <c r="G15" s="92" t="s">
        <v>7</v>
      </c>
      <c r="H15" s="92" t="s">
        <v>7</v>
      </c>
      <c r="I15" s="92" t="s">
        <v>7</v>
      </c>
      <c r="J15" s="96"/>
      <c r="K15" s="92" t="s">
        <v>7</v>
      </c>
      <c r="L15" s="68"/>
      <c r="M15" s="92" t="s">
        <v>7</v>
      </c>
      <c r="N15" s="65"/>
      <c r="O15" s="68"/>
      <c r="P15" s="68"/>
      <c r="Q15" s="68"/>
      <c r="R15" s="68"/>
      <c r="S15" s="68"/>
      <c r="T15" s="97"/>
    </row>
    <row r="16" spans="1:20" s="62" customFormat="1" ht="32.25" customHeight="1">
      <c r="A16" s="163" t="s">
        <v>18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5"/>
    </row>
    <row r="17" spans="1:20" s="62" customFormat="1" ht="71.25" customHeight="1">
      <c r="A17" s="138">
        <v>4</v>
      </c>
      <c r="B17" s="106" t="s">
        <v>97</v>
      </c>
      <c r="C17" s="107" t="s">
        <v>34</v>
      </c>
      <c r="D17" s="101">
        <v>23118400</v>
      </c>
      <c r="E17" s="109" t="s">
        <v>36</v>
      </c>
      <c r="F17" s="101">
        <f>O17</f>
        <v>23118400</v>
      </c>
      <c r="G17" s="72" t="s">
        <v>98</v>
      </c>
      <c r="H17" s="110" t="s">
        <v>54</v>
      </c>
      <c r="I17" s="75" t="s">
        <v>39</v>
      </c>
      <c r="J17" s="101">
        <v>23118400</v>
      </c>
      <c r="K17" s="72" t="s">
        <v>99</v>
      </c>
      <c r="L17" s="134"/>
      <c r="M17" s="72"/>
      <c r="N17" s="134">
        <v>0</v>
      </c>
      <c r="O17" s="134">
        <f>J17+L17-N17</f>
        <v>23118400</v>
      </c>
      <c r="P17" s="73"/>
      <c r="Q17" s="73"/>
      <c r="R17" s="136"/>
      <c r="S17" s="136"/>
      <c r="T17" s="111">
        <f>Q17+R17-S17</f>
        <v>0</v>
      </c>
    </row>
    <row r="18" spans="1:20" s="62" customFormat="1" ht="18.75" customHeight="1">
      <c r="A18" s="112" t="s">
        <v>1</v>
      </c>
      <c r="B18" s="113"/>
      <c r="C18" s="74" t="s">
        <v>7</v>
      </c>
      <c r="D18" s="74" t="s">
        <v>7</v>
      </c>
      <c r="E18" s="74" t="s">
        <v>7</v>
      </c>
      <c r="F18" s="132">
        <f>SUM(F17:F17)</f>
        <v>23118400</v>
      </c>
      <c r="G18" s="74" t="s">
        <v>7</v>
      </c>
      <c r="H18" s="74" t="s">
        <v>7</v>
      </c>
      <c r="I18" s="74" t="s">
        <v>7</v>
      </c>
      <c r="J18" s="132">
        <f>SUM(J17:J17)</f>
        <v>23118400</v>
      </c>
      <c r="K18" s="74" t="s">
        <v>7</v>
      </c>
      <c r="L18" s="132">
        <f>SUM(L17:L17)</f>
        <v>0</v>
      </c>
      <c r="M18" s="74" t="s">
        <v>7</v>
      </c>
      <c r="N18" s="132">
        <f aca="true" t="shared" si="0" ref="N18:T18">SUM(N17:N17)</f>
        <v>0</v>
      </c>
      <c r="O18" s="132">
        <f t="shared" si="0"/>
        <v>23118400</v>
      </c>
      <c r="P18" s="132">
        <f t="shared" si="0"/>
        <v>0</v>
      </c>
      <c r="Q18" s="132">
        <f t="shared" si="0"/>
        <v>0</v>
      </c>
      <c r="R18" s="132">
        <f t="shared" si="0"/>
        <v>0</v>
      </c>
      <c r="S18" s="132">
        <f t="shared" si="0"/>
        <v>0</v>
      </c>
      <c r="T18" s="132">
        <f t="shared" si="0"/>
        <v>0</v>
      </c>
    </row>
    <row r="19" spans="1:20" s="62" customFormat="1" ht="31.5" customHeight="1">
      <c r="A19" s="166" t="s">
        <v>19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8"/>
    </row>
    <row r="20" spans="1:20" s="62" customFormat="1" ht="71.25" customHeight="1">
      <c r="A20" s="138">
        <v>5</v>
      </c>
      <c r="B20" s="106" t="s">
        <v>81</v>
      </c>
      <c r="C20" s="107" t="s">
        <v>82</v>
      </c>
      <c r="D20" s="108">
        <v>26000000</v>
      </c>
      <c r="E20" s="109" t="s">
        <v>36</v>
      </c>
      <c r="F20" s="101">
        <f>O20</f>
        <v>20181600</v>
      </c>
      <c r="G20" s="72" t="s">
        <v>83</v>
      </c>
      <c r="H20" s="110" t="s">
        <v>54</v>
      </c>
      <c r="I20" s="75">
        <v>7.24</v>
      </c>
      <c r="J20" s="101">
        <v>20181600</v>
      </c>
      <c r="K20" s="114" t="s">
        <v>84</v>
      </c>
      <c r="L20" s="73"/>
      <c r="M20" s="72"/>
      <c r="N20" s="101"/>
      <c r="O20" s="134">
        <f>J20+L20-N20</f>
        <v>20181600</v>
      </c>
      <c r="P20" s="75"/>
      <c r="Q20" s="75"/>
      <c r="R20" s="134">
        <f>123613.13+112134.49+124148.91</f>
        <v>359896.53</v>
      </c>
      <c r="S20" s="134">
        <f>123613.13+112134.49+124148.91</f>
        <v>359896.53</v>
      </c>
      <c r="T20" s="134">
        <f>Q20+R20-S20</f>
        <v>0</v>
      </c>
    </row>
    <row r="21" spans="1:20" s="62" customFormat="1" ht="67.5" customHeight="1">
      <c r="A21" s="138">
        <v>6</v>
      </c>
      <c r="B21" s="106" t="s">
        <v>85</v>
      </c>
      <c r="C21" s="107" t="s">
        <v>58</v>
      </c>
      <c r="D21" s="108">
        <v>17900000</v>
      </c>
      <c r="E21" s="109" t="s">
        <v>36</v>
      </c>
      <c r="F21" s="101">
        <f>O21</f>
        <v>17900000</v>
      </c>
      <c r="G21" s="72" t="s">
        <v>86</v>
      </c>
      <c r="H21" s="110" t="s">
        <v>54</v>
      </c>
      <c r="I21" s="75">
        <v>6.42</v>
      </c>
      <c r="J21" s="101">
        <v>17900000</v>
      </c>
      <c r="K21" s="114" t="s">
        <v>87</v>
      </c>
      <c r="L21" s="73"/>
      <c r="M21" s="72"/>
      <c r="N21" s="101"/>
      <c r="O21" s="134">
        <f>J21+L21-N21</f>
        <v>17900000</v>
      </c>
      <c r="P21" s="75"/>
      <c r="Q21" s="75"/>
      <c r="R21" s="134">
        <f>97620.06+88172.97+97620.06</f>
        <v>283413.08999999997</v>
      </c>
      <c r="S21" s="134">
        <f>97620.06+88172.97+97620.06</f>
        <v>283413.08999999997</v>
      </c>
      <c r="T21" s="134">
        <f>Q21+R21-S21</f>
        <v>0</v>
      </c>
    </row>
    <row r="22" spans="1:20" s="62" customFormat="1" ht="76.5" customHeight="1">
      <c r="A22" s="138">
        <v>7</v>
      </c>
      <c r="B22" s="106" t="s">
        <v>90</v>
      </c>
      <c r="C22" s="107" t="s">
        <v>91</v>
      </c>
      <c r="D22" s="108">
        <v>20000000</v>
      </c>
      <c r="E22" s="109" t="s">
        <v>36</v>
      </c>
      <c r="F22" s="101">
        <f>O22</f>
        <v>20000000</v>
      </c>
      <c r="G22" s="72" t="s">
        <v>92</v>
      </c>
      <c r="H22" s="110" t="s">
        <v>54</v>
      </c>
      <c r="I22" s="75">
        <v>6.4</v>
      </c>
      <c r="J22" s="101">
        <v>20000000</v>
      </c>
      <c r="K22" s="114" t="s">
        <v>93</v>
      </c>
      <c r="L22" s="101"/>
      <c r="M22" s="72"/>
      <c r="N22" s="101"/>
      <c r="O22" s="134">
        <f>J22+L22-N22</f>
        <v>20000000</v>
      </c>
      <c r="P22" s="75"/>
      <c r="Q22" s="75"/>
      <c r="R22" s="134">
        <f>108712.33+98191.78+108712.33</f>
        <v>315616.44</v>
      </c>
      <c r="S22" s="134">
        <f>108712.33+98191.78+108712.33</f>
        <v>315616.44</v>
      </c>
      <c r="T22" s="134">
        <f>Q22+R22-S22</f>
        <v>0</v>
      </c>
    </row>
    <row r="23" spans="1:20" s="62" customFormat="1" ht="72" customHeight="1">
      <c r="A23" s="138">
        <v>8</v>
      </c>
      <c r="B23" s="106" t="s">
        <v>95</v>
      </c>
      <c r="C23" s="107" t="s">
        <v>68</v>
      </c>
      <c r="D23" s="108">
        <v>19131000</v>
      </c>
      <c r="E23" s="109" t="s">
        <v>36</v>
      </c>
      <c r="F23" s="101">
        <f>O23</f>
        <v>19131000</v>
      </c>
      <c r="G23" s="72" t="s">
        <v>96</v>
      </c>
      <c r="H23" s="110" t="s">
        <v>54</v>
      </c>
      <c r="I23" s="75">
        <v>7.68</v>
      </c>
      <c r="J23" s="101">
        <v>19131000</v>
      </c>
      <c r="K23" s="72" t="s">
        <v>96</v>
      </c>
      <c r="L23" s="101"/>
      <c r="M23" s="72"/>
      <c r="N23" s="101"/>
      <c r="O23" s="134">
        <f>J23+L23-N23</f>
        <v>19131000</v>
      </c>
      <c r="P23" s="75"/>
      <c r="Q23" s="75"/>
      <c r="R23" s="134">
        <f>124786.53+112710.42+124786.53</f>
        <v>362283.48</v>
      </c>
      <c r="S23" s="134">
        <f>124786.53+112710.42+124786.53</f>
        <v>362283.48</v>
      </c>
      <c r="T23" s="134">
        <f>Q23+R23-S23</f>
        <v>0</v>
      </c>
    </row>
    <row r="24" spans="1:20" s="62" customFormat="1" ht="18.75" customHeight="1">
      <c r="A24" s="112" t="s">
        <v>1</v>
      </c>
      <c r="B24" s="113"/>
      <c r="C24" s="74" t="s">
        <v>7</v>
      </c>
      <c r="D24" s="74" t="s">
        <v>7</v>
      </c>
      <c r="E24" s="74" t="s">
        <v>7</v>
      </c>
      <c r="F24" s="132">
        <f>F20+F21+F22+F23</f>
        <v>77212600</v>
      </c>
      <c r="G24" s="74" t="s">
        <v>7</v>
      </c>
      <c r="H24" s="74" t="s">
        <v>7</v>
      </c>
      <c r="I24" s="74" t="s">
        <v>7</v>
      </c>
      <c r="J24" s="132">
        <f>J20+J21+J22+J23</f>
        <v>77212600</v>
      </c>
      <c r="K24" s="132" t="s">
        <v>7</v>
      </c>
      <c r="L24" s="132">
        <f>L20+L21+L22+L23</f>
        <v>0</v>
      </c>
      <c r="M24" s="132" t="s">
        <v>7</v>
      </c>
      <c r="N24" s="132">
        <f aca="true" t="shared" si="1" ref="N24:T24">N20+N21+N22+N23</f>
        <v>0</v>
      </c>
      <c r="O24" s="132">
        <f t="shared" si="1"/>
        <v>77212600</v>
      </c>
      <c r="P24" s="132">
        <f t="shared" si="1"/>
        <v>0</v>
      </c>
      <c r="Q24" s="132">
        <f t="shared" si="1"/>
        <v>0</v>
      </c>
      <c r="R24" s="132">
        <f t="shared" si="1"/>
        <v>1321209.54</v>
      </c>
      <c r="S24" s="132">
        <f t="shared" si="1"/>
        <v>1321209.54</v>
      </c>
      <c r="T24" s="132">
        <f t="shared" si="1"/>
        <v>0</v>
      </c>
    </row>
    <row r="25" spans="1:20" s="62" customFormat="1" ht="18.75" customHeight="1">
      <c r="A25" s="166" t="s">
        <v>20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8"/>
    </row>
    <row r="26" spans="1:20" s="62" customFormat="1" ht="2.25" customHeight="1">
      <c r="A26" s="105"/>
      <c r="B26" s="113"/>
      <c r="C26" s="115"/>
      <c r="D26" s="74"/>
      <c r="E26" s="116"/>
      <c r="F26" s="116"/>
      <c r="G26" s="117"/>
      <c r="H26" s="118"/>
      <c r="I26" s="73"/>
      <c r="J26" s="119"/>
      <c r="K26" s="73"/>
      <c r="L26" s="73"/>
      <c r="M26" s="73"/>
      <c r="N26" s="120"/>
      <c r="O26" s="73"/>
      <c r="P26" s="73"/>
      <c r="Q26" s="73"/>
      <c r="R26" s="73"/>
      <c r="S26" s="73"/>
      <c r="T26" s="111"/>
    </row>
    <row r="27" spans="1:20" s="62" customFormat="1" ht="18.75" customHeight="1">
      <c r="A27" s="112" t="s">
        <v>1</v>
      </c>
      <c r="B27" s="113"/>
      <c r="C27" s="74" t="s">
        <v>7</v>
      </c>
      <c r="D27" s="74" t="s">
        <v>7</v>
      </c>
      <c r="E27" s="74" t="s">
        <v>7</v>
      </c>
      <c r="F27" s="74"/>
      <c r="G27" s="74" t="s">
        <v>7</v>
      </c>
      <c r="H27" s="74" t="s">
        <v>7</v>
      </c>
      <c r="I27" s="74" t="s">
        <v>7</v>
      </c>
      <c r="J27" s="119"/>
      <c r="K27" s="74" t="s">
        <v>7</v>
      </c>
      <c r="L27" s="73"/>
      <c r="M27" s="74" t="s">
        <v>7</v>
      </c>
      <c r="N27" s="120"/>
      <c r="O27" s="73"/>
      <c r="P27" s="73"/>
      <c r="Q27" s="73"/>
      <c r="R27" s="73"/>
      <c r="S27" s="73"/>
      <c r="T27" s="111"/>
    </row>
    <row r="28" spans="1:20" s="62" customFormat="1" ht="22.5" customHeight="1">
      <c r="A28" s="166" t="s">
        <v>27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8"/>
    </row>
    <row r="29" spans="1:20" s="62" customFormat="1" ht="3" customHeight="1" hidden="1">
      <c r="A29" s="105"/>
      <c r="B29" s="113"/>
      <c r="C29" s="115"/>
      <c r="D29" s="74"/>
      <c r="E29" s="116"/>
      <c r="F29" s="116"/>
      <c r="G29" s="117"/>
      <c r="H29" s="118"/>
      <c r="I29" s="73"/>
      <c r="J29" s="119"/>
      <c r="K29" s="73"/>
      <c r="L29" s="73"/>
      <c r="M29" s="73"/>
      <c r="N29" s="120"/>
      <c r="O29" s="73"/>
      <c r="P29" s="73"/>
      <c r="Q29" s="73"/>
      <c r="R29" s="73"/>
      <c r="S29" s="73"/>
      <c r="T29" s="111"/>
    </row>
    <row r="30" spans="1:20" s="62" customFormat="1" ht="18.75" customHeight="1">
      <c r="A30" s="112" t="s">
        <v>1</v>
      </c>
      <c r="B30" s="113"/>
      <c r="C30" s="74" t="s">
        <v>7</v>
      </c>
      <c r="D30" s="74" t="s">
        <v>7</v>
      </c>
      <c r="E30" s="74"/>
      <c r="F30" s="74"/>
      <c r="G30" s="74" t="s">
        <v>7</v>
      </c>
      <c r="H30" s="74" t="s">
        <v>7</v>
      </c>
      <c r="I30" s="74" t="s">
        <v>7</v>
      </c>
      <c r="J30" s="119"/>
      <c r="K30" s="74" t="s">
        <v>7</v>
      </c>
      <c r="L30" s="73"/>
      <c r="M30" s="74" t="s">
        <v>7</v>
      </c>
      <c r="N30" s="120"/>
      <c r="O30" s="73"/>
      <c r="P30" s="73"/>
      <c r="Q30" s="73"/>
      <c r="R30" s="73"/>
      <c r="S30" s="73"/>
      <c r="T30" s="111"/>
    </row>
    <row r="31" spans="1:20" s="62" customFormat="1" ht="18.75" customHeight="1">
      <c r="A31" s="169" t="s">
        <v>31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1"/>
    </row>
    <row r="32" spans="1:20" s="122" customFormat="1" ht="21.75" customHeight="1">
      <c r="A32" s="121"/>
      <c r="B32" s="121"/>
      <c r="C32" s="74" t="s">
        <v>7</v>
      </c>
      <c r="D32" s="74" t="s">
        <v>7</v>
      </c>
      <c r="E32" s="74" t="s">
        <v>7</v>
      </c>
      <c r="F32" s="132">
        <f>F18+F24</f>
        <v>100331000</v>
      </c>
      <c r="G32" s="74" t="s">
        <v>7</v>
      </c>
      <c r="H32" s="74" t="s">
        <v>7</v>
      </c>
      <c r="I32" s="74" t="s">
        <v>7</v>
      </c>
      <c r="J32" s="132">
        <f>J18+J24</f>
        <v>100331000</v>
      </c>
      <c r="K32" s="132" t="s">
        <v>7</v>
      </c>
      <c r="L32" s="132">
        <f>L18+L24</f>
        <v>0</v>
      </c>
      <c r="M32" s="132" t="s">
        <v>7</v>
      </c>
      <c r="N32" s="132">
        <f aca="true" t="shared" si="2" ref="N32:T32">N18+N24</f>
        <v>0</v>
      </c>
      <c r="O32" s="132">
        <f t="shared" si="2"/>
        <v>100331000</v>
      </c>
      <c r="P32" s="132">
        <f t="shared" si="2"/>
        <v>0</v>
      </c>
      <c r="Q32" s="132">
        <f t="shared" si="2"/>
        <v>0</v>
      </c>
      <c r="R32" s="132">
        <f t="shared" si="2"/>
        <v>1321209.54</v>
      </c>
      <c r="S32" s="132">
        <f t="shared" si="2"/>
        <v>1321209.54</v>
      </c>
      <c r="T32" s="132">
        <f t="shared" si="2"/>
        <v>0</v>
      </c>
    </row>
    <row r="33" spans="1:20" ht="10.5" customHeight="1">
      <c r="A33" s="123"/>
      <c r="B33" s="124"/>
      <c r="C33" s="124"/>
      <c r="D33" s="125"/>
      <c r="E33" s="125"/>
      <c r="F33" s="125"/>
      <c r="G33" s="126"/>
      <c r="H33" s="126"/>
      <c r="I33" s="70"/>
      <c r="J33" s="70"/>
      <c r="K33" s="67"/>
      <c r="L33" s="67"/>
      <c r="M33" s="67"/>
      <c r="N33" s="67"/>
      <c r="O33" s="70"/>
      <c r="P33" s="70"/>
      <c r="Q33" s="70"/>
      <c r="R33" s="70"/>
      <c r="S33" s="70"/>
      <c r="T33" s="70"/>
    </row>
    <row r="34" spans="1:11" ht="20.25" customHeight="1">
      <c r="A34" s="127" t="s">
        <v>107</v>
      </c>
      <c r="B34" s="128"/>
      <c r="C34" s="128"/>
      <c r="D34" s="129"/>
      <c r="E34" s="129"/>
      <c r="F34" s="129"/>
      <c r="G34" s="130"/>
      <c r="H34" s="130"/>
      <c r="J34" s="127"/>
      <c r="K34" s="127"/>
    </row>
    <row r="36" spans="1:11" ht="14.25" customHeight="1">
      <c r="A36" s="127" t="s">
        <v>70</v>
      </c>
      <c r="B36" s="128"/>
      <c r="C36" s="128"/>
      <c r="D36" s="129"/>
      <c r="E36" s="129"/>
      <c r="F36" s="129"/>
      <c r="G36" s="130"/>
      <c r="H36" s="130"/>
      <c r="J36" s="127"/>
      <c r="K36" s="127"/>
    </row>
    <row r="38" spans="1:11" ht="14.25" customHeight="1">
      <c r="A38" s="127" t="s">
        <v>71</v>
      </c>
      <c r="B38" s="128"/>
      <c r="C38" s="128"/>
      <c r="D38" s="129"/>
      <c r="E38" s="129"/>
      <c r="F38" s="129"/>
      <c r="G38" s="158" t="s">
        <v>73</v>
      </c>
      <c r="H38" s="159"/>
      <c r="J38" s="127"/>
      <c r="K38" s="127"/>
    </row>
    <row r="39" ht="12" customHeight="1"/>
    <row r="40" ht="12.75" hidden="1"/>
    <row r="41" ht="11.25" customHeight="1">
      <c r="A41" s="61" t="s">
        <v>21</v>
      </c>
    </row>
    <row r="42" spans="1:11" ht="12.75">
      <c r="A42" s="127"/>
      <c r="B42" s="128"/>
      <c r="C42" s="128"/>
      <c r="D42" s="129"/>
      <c r="E42" s="129"/>
      <c r="F42" s="129"/>
      <c r="G42" s="130"/>
      <c r="H42" s="130"/>
      <c r="J42" s="127"/>
      <c r="K42" s="127"/>
    </row>
    <row r="53" spans="1:22" s="77" customFormat="1" ht="16.5" customHeight="1">
      <c r="A53" s="61"/>
      <c r="D53" s="78"/>
      <c r="E53" s="78"/>
      <c r="F53" s="78"/>
      <c r="G53" s="79"/>
      <c r="H53" s="79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</row>
    <row r="54" spans="1:22" s="77" customFormat="1" ht="30" customHeight="1">
      <c r="A54" s="61"/>
      <c r="B54" s="131"/>
      <c r="D54" s="78"/>
      <c r="E54" s="78"/>
      <c r="F54" s="78"/>
      <c r="G54" s="79"/>
      <c r="H54" s="79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</row>
  </sheetData>
  <sheetProtection/>
  <mergeCells count="29">
    <mergeCell ref="G38:H38"/>
    <mergeCell ref="A13:T13"/>
    <mergeCell ref="A16:T16"/>
    <mergeCell ref="A19:T19"/>
    <mergeCell ref="A25:T25"/>
    <mergeCell ref="A28:T28"/>
    <mergeCell ref="A31:T31"/>
    <mergeCell ref="N10:N11"/>
    <mergeCell ref="O10:P10"/>
    <mergeCell ref="Q10:Q11"/>
    <mergeCell ref="R10:R11"/>
    <mergeCell ref="S10:S11"/>
    <mergeCell ref="T10:T11"/>
    <mergeCell ref="H10:H11"/>
    <mergeCell ref="I10:I11"/>
    <mergeCell ref="J10:J11"/>
    <mergeCell ref="K10:K11"/>
    <mergeCell ref="L10:L11"/>
    <mergeCell ref="M10:M11"/>
    <mergeCell ref="S1:T2"/>
    <mergeCell ref="A3:T3"/>
    <mergeCell ref="G7:N7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rfu9</cp:lastModifiedBy>
  <cp:lastPrinted>2022-03-28T06:13:49Z</cp:lastPrinted>
  <dcterms:created xsi:type="dcterms:W3CDTF">2006-06-05T06:40:26Z</dcterms:created>
  <dcterms:modified xsi:type="dcterms:W3CDTF">2022-04-06T06:09:02Z</dcterms:modified>
  <cp:category/>
  <cp:version/>
  <cp:contentType/>
  <cp:contentStatus/>
</cp:coreProperties>
</file>